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Fees Calculation checking\"/>
    </mc:Choice>
  </mc:AlternateContent>
  <bookViews>
    <workbookView xWindow="-105" yWindow="-105" windowWidth="19425" windowHeight="10305" tabRatio="830"/>
  </bookViews>
  <sheets>
    <sheet name="One Year-Fixed Fees" sheetId="7" r:id="rId1"/>
    <sheet name="One Year- Variable Fees" sheetId="10" r:id="rId2"/>
    <sheet name="One Year-Hybrid Fees" sheetId="6" r:id="rId3"/>
    <sheet name="Multi Year- Hybrid Fees" sheetId="14" r:id="rId4"/>
  </sheets>
  <definedNames>
    <definedName name="_xlnm.Print_Area" localSheetId="2">'One Year-Hybrid Fees'!$A$1:$M$49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4" l="1"/>
  <c r="F25" i="14"/>
  <c r="F14" i="14"/>
  <c r="F15" i="14" s="1"/>
  <c r="F17" i="14" l="1"/>
  <c r="F20" i="14" l="1"/>
  <c r="F21" i="14" s="1"/>
  <c r="F19" i="14"/>
  <c r="F22" i="14" l="1"/>
  <c r="F24" i="14" s="1"/>
  <c r="F28" i="14" l="1"/>
  <c r="F29" i="14" s="1"/>
  <c r="F30" i="14" s="1"/>
  <c r="F31" i="14" s="1"/>
  <c r="F36" i="14"/>
  <c r="H25" i="14" s="1"/>
  <c r="F33" i="14" l="1"/>
  <c r="H26" i="14"/>
  <c r="H13" i="14" l="1"/>
  <c r="F34" i="14"/>
  <c r="H14" i="14" l="1"/>
  <c r="H15" i="14" s="1"/>
  <c r="H17" i="14" l="1"/>
  <c r="H20" i="14" l="1"/>
  <c r="H21" i="14" s="1"/>
  <c r="H19" i="14"/>
  <c r="H22" i="14" l="1"/>
  <c r="H24" i="14" s="1"/>
  <c r="H28" i="14" l="1"/>
  <c r="H29" i="14" s="1"/>
  <c r="H30" i="14" s="1"/>
  <c r="H31" i="14" s="1"/>
  <c r="H36" i="14"/>
  <c r="J25" i="14" s="1"/>
  <c r="J26" i="14" l="1"/>
  <c r="H33" i="14"/>
  <c r="J13" i="14" l="1"/>
  <c r="H34" i="14"/>
  <c r="J14" i="14" l="1"/>
  <c r="J15" i="14"/>
  <c r="J17" i="14" l="1"/>
  <c r="J20" i="14" l="1"/>
  <c r="J19" i="14"/>
  <c r="J21" i="14" l="1"/>
  <c r="J22" i="14" s="1"/>
  <c r="J24" i="14" s="1"/>
  <c r="J28" i="14" l="1"/>
  <c r="J29" i="14" s="1"/>
  <c r="J30" i="14" s="1"/>
  <c r="J31" i="14" s="1"/>
  <c r="J36" i="14"/>
  <c r="L25" i="14" s="1"/>
  <c r="J33" i="14" l="1"/>
  <c r="L26" i="14"/>
  <c r="L13" i="14" l="1"/>
  <c r="J34" i="14"/>
  <c r="L14" i="14" l="1"/>
  <c r="L15" i="14" s="1"/>
  <c r="L17" i="14" l="1"/>
  <c r="L19" i="14" l="1"/>
  <c r="L21" i="14"/>
  <c r="L20" i="14"/>
  <c r="L22" i="14" l="1"/>
  <c r="L24" i="14" s="1"/>
  <c r="L28" i="14" l="1"/>
  <c r="L29" i="14" s="1"/>
  <c r="L30" i="14" s="1"/>
  <c r="L31" i="14" s="1"/>
  <c r="L36" i="14"/>
  <c r="N25" i="14" s="1"/>
  <c r="L33" i="14" l="1"/>
  <c r="N26" i="14"/>
  <c r="L34" i="14" l="1"/>
  <c r="N13" i="14"/>
  <c r="N14" i="14" l="1"/>
  <c r="N15" i="14" s="1"/>
  <c r="N17" i="14" l="1"/>
  <c r="N20" i="14" l="1"/>
  <c r="N21" i="14" s="1"/>
  <c r="N19" i="14"/>
  <c r="N22" i="14" l="1"/>
  <c r="N24" i="14" s="1"/>
  <c r="B26" i="7"/>
  <c r="B27" i="7" s="1"/>
  <c r="B28" i="7" s="1"/>
  <c r="B29" i="7" s="1"/>
  <c r="B30" i="7" s="1"/>
  <c r="B39" i="10"/>
  <c r="B40" i="10" s="1"/>
  <c r="B41" i="10" s="1"/>
  <c r="B42" i="10" s="1"/>
  <c r="B43" i="10" s="1"/>
  <c r="B44" i="10" s="1"/>
  <c r="B45" i="10" s="1"/>
  <c r="B46" i="10" s="1"/>
  <c r="B47" i="10" s="1"/>
  <c r="B48" i="10" s="1"/>
  <c r="N28" i="14" l="1"/>
  <c r="N29" i="14" s="1"/>
  <c r="N30" i="14" s="1"/>
  <c r="N31" i="14" s="1"/>
  <c r="N36" i="14"/>
  <c r="J12" i="10"/>
  <c r="J24" i="10" s="1"/>
  <c r="H12" i="10"/>
  <c r="H24" i="10" s="1"/>
  <c r="F12" i="10"/>
  <c r="F24" i="10" s="1"/>
  <c r="B31" i="7"/>
  <c r="B39" i="6"/>
  <c r="B40" i="6" s="1"/>
  <c r="B41" i="6" s="1"/>
  <c r="B42" i="6" s="1"/>
  <c r="B43" i="6" s="1"/>
  <c r="B44" i="6" s="1"/>
  <c r="B45" i="6" s="1"/>
  <c r="B46" i="6" s="1"/>
  <c r="B47" i="6" s="1"/>
  <c r="B48" i="6" s="1"/>
  <c r="N33" i="14" l="1"/>
  <c r="N34" i="14" s="1"/>
  <c r="F25" i="10"/>
  <c r="J25" i="10"/>
  <c r="H25" i="10"/>
  <c r="H13" i="10"/>
  <c r="H14" i="10" s="1"/>
  <c r="H16" i="10" s="1"/>
  <c r="F13" i="10"/>
  <c r="F14" i="10" s="1"/>
  <c r="F16" i="10" s="1"/>
  <c r="J13" i="10"/>
  <c r="J14" i="10" s="1"/>
  <c r="J16" i="10" s="1"/>
  <c r="J19" i="10" l="1"/>
  <c r="J18" i="10"/>
  <c r="F19" i="10"/>
  <c r="F18" i="10"/>
  <c r="H19" i="10"/>
  <c r="H18" i="10"/>
  <c r="J20" i="10" l="1"/>
  <c r="J21" i="10" s="1"/>
  <c r="J23" i="10" s="1"/>
  <c r="J35" i="10" s="1"/>
  <c r="H20" i="10"/>
  <c r="H21" i="10" s="1"/>
  <c r="H23" i="10" s="1"/>
  <c r="H35" i="10" s="1"/>
  <c r="F20" i="10"/>
  <c r="F21" i="10" s="1"/>
  <c r="F23" i="10" s="1"/>
  <c r="F35" i="10" s="1"/>
  <c r="J10" i="7"/>
  <c r="H10" i="7"/>
  <c r="F10" i="7"/>
  <c r="J12" i="6"/>
  <c r="J13" i="6" s="1"/>
  <c r="H12" i="6"/>
  <c r="H13" i="6" s="1"/>
  <c r="F12" i="6"/>
  <c r="F13" i="6" s="1"/>
  <c r="F26" i="10" l="1"/>
  <c r="H26" i="10"/>
  <c r="J26" i="10"/>
  <c r="J11" i="7"/>
  <c r="J12" i="7" s="1"/>
  <c r="J14" i="7" s="1"/>
  <c r="J24" i="6"/>
  <c r="F24" i="6"/>
  <c r="F25" i="6" s="1"/>
  <c r="H24" i="6"/>
  <c r="H11" i="7"/>
  <c r="H12" i="7" s="1"/>
  <c r="F11" i="7"/>
  <c r="F12" i="7" s="1"/>
  <c r="F14" i="7" s="1"/>
  <c r="F14" i="6"/>
  <c r="H14" i="6"/>
  <c r="J14" i="6"/>
  <c r="F16" i="7" l="1"/>
  <c r="H25" i="6"/>
  <c r="J25" i="6"/>
  <c r="H28" i="10"/>
  <c r="H29" i="10" s="1"/>
  <c r="H31" i="10" s="1"/>
  <c r="J28" i="10"/>
  <c r="J29" i="10" s="1"/>
  <c r="J31" i="10" s="1"/>
  <c r="F28" i="10"/>
  <c r="F29" i="10" s="1"/>
  <c r="F31" i="10" s="1"/>
  <c r="J17" i="7"/>
  <c r="J16" i="7"/>
  <c r="H14" i="7"/>
  <c r="H16" i="6"/>
  <c r="F16" i="6"/>
  <c r="J16" i="6"/>
  <c r="F19" i="6" l="1"/>
  <c r="F18" i="6"/>
  <c r="H32" i="10"/>
  <c r="H34" i="10"/>
  <c r="F32" i="10"/>
  <c r="F34" i="10"/>
  <c r="J32" i="10"/>
  <c r="J34" i="10"/>
  <c r="J19" i="6"/>
  <c r="H19" i="6"/>
  <c r="J18" i="7"/>
  <c r="J19" i="7" s="1"/>
  <c r="J21" i="7" s="1"/>
  <c r="J22" i="7" s="1"/>
  <c r="F17" i="7"/>
  <c r="F18" i="7" s="1"/>
  <c r="F19" i="7" s="1"/>
  <c r="H17" i="7"/>
  <c r="H16" i="7"/>
  <c r="J18" i="6"/>
  <c r="H18" i="6"/>
  <c r="H18" i="7" l="1"/>
  <c r="F21" i="7"/>
  <c r="F22" i="7" s="1"/>
  <c r="F20" i="6"/>
  <c r="F21" i="6" s="1"/>
  <c r="F23" i="6" s="1"/>
  <c r="F35" i="6" s="1"/>
  <c r="H20" i="6"/>
  <c r="H21" i="6" s="1"/>
  <c r="H23" i="6" s="1"/>
  <c r="J20" i="6"/>
  <c r="J21" i="6" s="1"/>
  <c r="J23" i="6" s="1"/>
  <c r="H19" i="7"/>
  <c r="H21" i="7" s="1"/>
  <c r="H22" i="7" s="1"/>
  <c r="J26" i="6" l="1"/>
  <c r="J28" i="6" s="1"/>
  <c r="J29" i="6" s="1"/>
  <c r="J31" i="6" s="1"/>
  <c r="J35" i="6"/>
  <c r="H26" i="6"/>
  <c r="H28" i="6" s="1"/>
  <c r="H29" i="6" s="1"/>
  <c r="H31" i="6" s="1"/>
  <c r="H35" i="6"/>
  <c r="F26" i="6"/>
  <c r="F28" i="6" s="1"/>
  <c r="F29" i="6" s="1"/>
  <c r="H34" i="6" l="1"/>
  <c r="H32" i="6"/>
  <c r="J32" i="6"/>
  <c r="J34" i="6"/>
  <c r="F31" i="6"/>
  <c r="F34" i="6" s="1"/>
  <c r="F32" i="6" l="1"/>
</calcChain>
</file>

<file path=xl/sharedStrings.xml><?xml version="1.0" encoding="utf-8"?>
<sst xmlns="http://schemas.openxmlformats.org/spreadsheetml/2006/main" count="314" uniqueCount="135">
  <si>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</si>
  <si>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</si>
  <si>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</si>
  <si>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</si>
  <si>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</si>
  <si>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</si>
  <si>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</si>
  <si>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</si>
  <si>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</si>
  <si>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</si>
  <si>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</si>
  <si>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</si>
  <si>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</si>
  <si>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</si>
  <si>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</si>
  <si>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</si>
  <si>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</si>
  <si>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</si>
  <si>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</si>
  <si>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</si>
  <si>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</si>
  <si>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</si>
  <si>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</si>
  <si>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</si>
  <si>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</si>
  <si>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</si>
  <si>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</si>
  <si>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</si>
  <si>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</si>
  <si>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</si>
  <si>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</si>
  <si>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</si>
  <si>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</si>
  <si>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</si>
  <si>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</si>
  <si>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</si>
  <si>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</si>
  <si>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</si>
  <si>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</si>
  <si>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</si>
  <si>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</si>
  <si>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</si>
  <si>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</si>
  <si>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</si>
  <si>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</si>
  <si>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</si>
  <si>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</si>
  <si>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</si>
  <si>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</si>
  <si>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</si>
  <si>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</si>
  <si>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</si>
  <si>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</si>
  <si>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</si>
  <si>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</si>
  <si>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</si>
  <si>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</si>
  <si>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</si>
  <si>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</si>
  <si>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</si>
  <si>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</si>
  <si>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</si>
  <si>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</si>
  <si>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</si>
  <si>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</si>
  <si>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</si>
  <si>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</si>
  <si>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</si>
  <si>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</si>
  <si>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</si>
  <si>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</si>
  <si>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</si>
  <si>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</si>
  <si>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</si>
  <si>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</si>
  <si>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</si>
  <si>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</si>
  <si>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</si>
  <si>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</si>
  <si>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</si>
  <si>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</si>
  <si>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</si>
  <si>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</si>
  <si>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</si>
  <si>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</si>
  <si>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</si>
  <si>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</si>
  <si>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</si>
  <si>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</si>
  <si>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</si>
  <si>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</si>
  <si>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</si>
  <si>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</si>
  <si>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</si>
  <si>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</si>
  <si>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</si>
  <si>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</si>
  <si>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</si>
  <si>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</si>
  <si>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</si>
  <si>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</si>
  <si>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</si>
  <si>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</si>
  <si>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</si>
  <si>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</si>
  <si>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</si>
  <si>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</si>
  <si>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</si>
  <si>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</si>
  <si>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</si>
  <si>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</si>
  <si>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</si>
  <si>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</si>
  <si>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</si>
  <si>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</si>
  <si>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</si>
  <si>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</si>
  <si>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Multi Year- Hybrid Fees</t>
  </si>
  <si>
    <t>Management Fee (1.25%age per annum)</t>
  </si>
  <si>
    <t>ii= i*Yr1</t>
  </si>
  <si>
    <t>iii= i + ii</t>
  </si>
  <si>
    <t>Other Expense *</t>
  </si>
  <si>
    <t>Management Fees **</t>
  </si>
  <si>
    <t>xii = ix &gt; (x+xi)</t>
  </si>
  <si>
    <t>xiii =  xii</t>
  </si>
  <si>
    <t xml:space="preserve"> </t>
  </si>
  <si>
    <t>xiv = xii x xiii</t>
  </si>
  <si>
    <t>xvi = ix - xiv</t>
  </si>
  <si>
    <t>xvii = ((xvi - i) / i) %</t>
  </si>
  <si>
    <t>xviii = Max (ix , x)</t>
  </si>
  <si>
    <t>*For Illustrative purposes only. In reality brokerage shall be charged at actuals and operating expenses shall be charged upto 0.25%. Brokerage shall be charged as % of transaction amount and Operating expenses as % of daily AUM.</t>
  </si>
  <si>
    <t xml:space="preserve">**For the illustration purpose Management fees is calculated based on average opening and closing AUM.  However, in the actual scenario average AUM will be calculated on daily AUM. </t>
  </si>
  <si>
    <t>One Year-Hybrid Fees</t>
  </si>
  <si>
    <t>One Year- Variable Fees</t>
  </si>
  <si>
    <t>One Year-Fixed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</si>
</sst>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0_ ;[Red]\-#,##0.00\ "/>
    <numFmt numFmtId="166" formatCode="#,##0_ ;[Red]\-#,##0\ "/>
    <numFmt numFmtId="169" formatCode="0.0000000000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b/>
      <sz val="18"/>
      <color theme="1"/>
      <name val="Calibri"/>
      <family val="2"/>
      <scheme val="minor"/>
    </font>
    <font>
      <sz val="11"/>
      <color rgb="FF4D5156"/>
      <name val="Arial"/>
      <family val="2"/>
    </font>
  </fonts>
  <fills count="8">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166"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165" fontId="3" fillId="0" borderId="0" xfId="0" applyNumberFormat="1" applyFont="1" applyAlignment="1">
      <alignment vertical="center"/>
    </xf>
    <xf numFmtId="169"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6" fontId="0" fillId="0" borderId="0" xfId="0" applyNumberFormat="1" applyAlignment="1">
      <alignment horizontal="right" vertical="center"/>
    </xf>
    <xf numFmtId="166"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9" fontId="5" fillId="2" borderId="40" xfId="0" applyNumberFormat="1" applyFont="1" applyFill="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6" fontId="0" fillId="0" borderId="1" xfId="0" applyNumberFormat="1" applyBorder="1" applyAlignment="1">
      <alignment horizontal="right" vertical="center"/>
    </xf>
    <xf numFmtId="166" fontId="0" fillId="0" borderId="13" xfId="0" applyNumberFormat="1" applyBorder="1" applyAlignment="1">
      <alignment horizontal="right" vertical="center"/>
    </xf>
    <xf numFmtId="164" fontId="0" fillId="0" borderId="1" xfId="1" applyFont="1" applyBorder="1" applyAlignment="1">
      <alignment horizontal="right" vertical="center"/>
    </xf>
    <xf numFmtId="164"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6" fontId="3" fillId="0" borderId="6" xfId="0" applyNumberFormat="1" applyFont="1" applyBorder="1" applyAlignment="1">
      <alignment horizontal="right" vertical="center"/>
    </xf>
    <xf numFmtId="0" fontId="4" fillId="0" borderId="6" xfId="0" applyFont="1" applyBorder="1"/>
    <xf numFmtId="166" fontId="3" fillId="0" borderId="1" xfId="0" applyNumberFormat="1" applyFont="1" applyBorder="1" applyAlignment="1">
      <alignment horizontal="right" vertical="center"/>
    </xf>
    <xf numFmtId="0" fontId="4" fillId="0" borderId="13"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0" fontId="8" fillId="4" borderId="0" xfId="0" applyFont="1" applyFill="1"/>
    <xf numFmtId="166" fontId="4" fillId="0" borderId="1" xfId="0" applyNumberFormat="1" applyFont="1" applyBorder="1"/>
    <xf numFmtId="0" fontId="9" fillId="0" borderId="0" xfId="0" applyFont="1"/>
    <xf numFmtId="166" fontId="3" fillId="0" borderId="1" xfId="0" applyNumberFormat="1" applyFont="1" applyBorder="1" applyAlignment="1">
      <alignment horizontal="center" vertical="center"/>
    </xf>
    <xf numFmtId="0" fontId="4" fillId="0" borderId="1" xfId="0" applyFont="1" applyBorder="1" applyAlignment="1">
      <alignment horizontal="center"/>
    </xf>
    <xf numFmtId="0" fontId="8" fillId="5" borderId="0" xfId="0" applyFont="1" applyFill="1" applyAlignment="1">
      <alignment vertical="center" wrapText="1"/>
    </xf>
    <xf numFmtId="0" fontId="8" fillId="7" borderId="0" xfId="0" applyFont="1" applyFill="1" applyAlignment="1">
      <alignment vertical="center" wrapText="1"/>
    </xf>
    <xf numFmtId="0" fontId="2" fillId="0" borderId="41" xfId="0" applyFont="1" applyBorder="1" applyAlignment="1">
      <alignment vertical="center" wrapText="1"/>
    </xf>
    <xf numFmtId="0" fontId="8" fillId="6" borderId="1" xfId="0" applyFont="1" applyFill="1" applyBorder="1" applyAlignment="1">
      <alignment vertical="center" wrapText="1"/>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tabSelected="1" zoomScaleNormal="100" workbookViewId="0">
      <selection activeCell="C1" sqref="C1"/>
    </sheetView>
  </sheetViews>
  <sheetFormatPr defaultColWidth="8.85546875" defaultRowHeight="15" x14ac:dyDescent="0.25"/>
  <cols>
    <col min="1" max="1" width="8.85546875" style="2"/>
    <col min="2" max="2" width="5.42578125" style="45"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24" thickBot="1" x14ac:dyDescent="0.3">
      <c r="C1" s="141" t="s">
        <v>134</v>
      </c>
    </row>
    <row r="2" spans="3:11" x14ac:dyDescent="0.25">
      <c r="C2" s="29" t="s">
        <v>0</v>
      </c>
      <c r="D2" s="30"/>
      <c r="E2" s="31"/>
      <c r="F2" s="32"/>
      <c r="G2" s="32"/>
      <c r="H2" s="32"/>
      <c r="I2" s="32"/>
      <c r="J2" s="32"/>
      <c r="K2" s="33"/>
    </row>
    <row r="3" spans="3:11" x14ac:dyDescent="0.25">
      <c r="C3" s="34" t="s">
        <v>2</v>
      </c>
      <c r="D3" s="6" t="s">
        <v>15</v>
      </c>
      <c r="E3" s="7">
        <v>5000000</v>
      </c>
      <c r="F3" s="12"/>
      <c r="G3" s="12"/>
      <c r="H3" s="12"/>
      <c r="I3" s="12"/>
      <c r="J3" s="12"/>
      <c r="K3" s="35"/>
    </row>
    <row r="4" spans="3:11" x14ac:dyDescent="0.25">
      <c r="C4" s="34" t="s">
        <v>1</v>
      </c>
      <c r="D4" s="6" t="s">
        <v>16</v>
      </c>
      <c r="E4" s="8">
        <v>2.5000000000000001E-2</v>
      </c>
      <c r="F4" s="12"/>
      <c r="G4" s="12"/>
      <c r="H4" s="12"/>
      <c r="I4" s="12"/>
      <c r="J4" s="12"/>
      <c r="K4" s="35"/>
    </row>
    <row r="5" spans="3:11" x14ac:dyDescent="0.25">
      <c r="C5" s="34" t="s">
        <v>38</v>
      </c>
      <c r="D5" s="6" t="s">
        <v>17</v>
      </c>
      <c r="E5" s="8">
        <v>5.0000000000000001E-3</v>
      </c>
      <c r="F5" s="12"/>
      <c r="G5" s="12"/>
      <c r="H5" s="12"/>
      <c r="I5" s="12"/>
      <c r="J5" s="12"/>
      <c r="K5" s="35"/>
    </row>
    <row r="6" spans="3:11" x14ac:dyDescent="0.25">
      <c r="C6" s="34" t="s">
        <v>56</v>
      </c>
      <c r="D6" s="6" t="s">
        <v>41</v>
      </c>
      <c r="E6" s="8">
        <v>2E-3</v>
      </c>
      <c r="F6" s="12"/>
      <c r="G6" s="12"/>
      <c r="H6" s="12"/>
      <c r="I6" s="12"/>
      <c r="J6" s="12"/>
      <c r="K6" s="35"/>
    </row>
    <row r="7" spans="3:11" ht="15.75" thickBot="1" x14ac:dyDescent="0.3">
      <c r="C7" s="34"/>
      <c r="D7" s="6"/>
      <c r="E7" s="5"/>
      <c r="F7" s="64"/>
      <c r="G7" s="28"/>
      <c r="H7" s="28"/>
      <c r="I7" s="28"/>
      <c r="J7" s="28"/>
      <c r="K7" s="67"/>
    </row>
    <row r="8" spans="3:11" ht="15.75" thickBot="1" x14ac:dyDescent="0.3">
      <c r="C8" s="77" t="s">
        <v>36</v>
      </c>
      <c r="D8" s="78"/>
      <c r="E8" s="79"/>
      <c r="F8" s="80" t="s">
        <v>12</v>
      </c>
      <c r="G8" s="81"/>
      <c r="H8" s="80" t="s">
        <v>13</v>
      </c>
      <c r="I8" s="81"/>
      <c r="J8" s="80" t="s">
        <v>14</v>
      </c>
      <c r="K8" s="81"/>
    </row>
    <row r="9" spans="3:11" x14ac:dyDescent="0.25">
      <c r="C9" s="77"/>
      <c r="D9" s="78"/>
      <c r="E9" s="78"/>
      <c r="F9" s="65" t="s">
        <v>3</v>
      </c>
      <c r="G9" s="66">
        <v>0.2</v>
      </c>
      <c r="H9" s="65" t="s">
        <v>4</v>
      </c>
      <c r="I9" s="66">
        <v>-0.2</v>
      </c>
      <c r="J9" s="65" t="s">
        <v>5</v>
      </c>
      <c r="K9" s="68">
        <v>0</v>
      </c>
    </row>
    <row r="10" spans="3:11" x14ac:dyDescent="0.25">
      <c r="C10" s="34" t="s">
        <v>11</v>
      </c>
      <c r="D10" s="6" t="s">
        <v>19</v>
      </c>
      <c r="E10" s="11" t="s">
        <v>29</v>
      </c>
      <c r="F10" s="82">
        <f>+$E$3</f>
        <v>5000000</v>
      </c>
      <c r="G10" s="82"/>
      <c r="H10" s="82">
        <f>+$E$3</f>
        <v>5000000</v>
      </c>
      <c r="I10" s="82"/>
      <c r="J10" s="82">
        <f>+$E$3</f>
        <v>5000000</v>
      </c>
      <c r="K10" s="83"/>
    </row>
    <row r="11" spans="3:11" x14ac:dyDescent="0.25">
      <c r="C11" s="34" t="s">
        <v>33</v>
      </c>
      <c r="D11" s="6" t="s">
        <v>20</v>
      </c>
      <c r="E11" s="11" t="s">
        <v>30</v>
      </c>
      <c r="F11" s="82">
        <f>F10*G9</f>
        <v>1000000</v>
      </c>
      <c r="G11" s="82"/>
      <c r="H11" s="82">
        <f>H10*I9</f>
        <v>-1000000</v>
      </c>
      <c r="I11" s="82"/>
      <c r="J11" s="84">
        <f>J10*K9</f>
        <v>0</v>
      </c>
      <c r="K11" s="85"/>
    </row>
    <row r="12" spans="3:11" x14ac:dyDescent="0.25">
      <c r="C12" s="34" t="s">
        <v>7</v>
      </c>
      <c r="D12" s="6" t="s">
        <v>21</v>
      </c>
      <c r="E12" s="11" t="s">
        <v>31</v>
      </c>
      <c r="F12" s="82">
        <f>F10+F11</f>
        <v>6000000</v>
      </c>
      <c r="G12" s="82"/>
      <c r="H12" s="82">
        <f>H10+H11</f>
        <v>4000000</v>
      </c>
      <c r="I12" s="82"/>
      <c r="J12" s="82">
        <f>J10+J11</f>
        <v>5000000</v>
      </c>
      <c r="K12" s="83"/>
    </row>
    <row r="13" spans="3:11" x14ac:dyDescent="0.25">
      <c r="C13" s="86"/>
      <c r="D13" s="87"/>
      <c r="E13" s="87"/>
      <c r="F13" s="87"/>
      <c r="G13" s="87"/>
      <c r="H13" s="87"/>
      <c r="I13" s="87"/>
      <c r="J13" s="87"/>
      <c r="K13" s="88"/>
    </row>
    <row r="14" spans="3:11" x14ac:dyDescent="0.25">
      <c r="C14" s="34" t="s">
        <v>63</v>
      </c>
      <c r="D14" s="6" t="s">
        <v>22</v>
      </c>
      <c r="E14" s="11" t="s">
        <v>32</v>
      </c>
      <c r="F14" s="89">
        <f>(F10+F12)/2</f>
        <v>5500000</v>
      </c>
      <c r="G14" s="89"/>
      <c r="H14" s="89">
        <f>(H10+H12)/2</f>
        <v>4500000</v>
      </c>
      <c r="I14" s="89"/>
      <c r="J14" s="89">
        <f>(J10+J12)/2</f>
        <v>5000000</v>
      </c>
      <c r="K14" s="90"/>
    </row>
    <row r="15" spans="3:11" x14ac:dyDescent="0.25">
      <c r="C15" s="86"/>
      <c r="D15" s="87"/>
      <c r="E15" s="87"/>
      <c r="F15" s="87"/>
      <c r="G15" s="87"/>
      <c r="H15" s="87"/>
      <c r="I15" s="87"/>
      <c r="J15" s="87"/>
      <c r="K15" s="88"/>
    </row>
    <row r="16" spans="3:11" x14ac:dyDescent="0.25">
      <c r="C16" s="34" t="s">
        <v>34</v>
      </c>
      <c r="D16" s="6" t="s">
        <v>23</v>
      </c>
      <c r="E16" s="11" t="s">
        <v>55</v>
      </c>
      <c r="F16" s="82">
        <f>+F14*-$E$5</f>
        <v>-27500</v>
      </c>
      <c r="G16" s="82"/>
      <c r="H16" s="82">
        <f>+H14*-$E$5</f>
        <v>-22500</v>
      </c>
      <c r="I16" s="82"/>
      <c r="J16" s="82">
        <f>+J14*-$E$5</f>
        <v>-25000</v>
      </c>
      <c r="K16" s="83"/>
    </row>
    <row r="17" spans="2:11" x14ac:dyDescent="0.25">
      <c r="C17" s="34" t="s">
        <v>56</v>
      </c>
      <c r="D17" s="6" t="s">
        <v>24</v>
      </c>
      <c r="E17" s="11" t="s">
        <v>57</v>
      </c>
      <c r="F17" s="82">
        <f>+F14*-$E$6</f>
        <v>-11000</v>
      </c>
      <c r="G17" s="82"/>
      <c r="H17" s="82">
        <f>+H14*-$E$6</f>
        <v>-9000</v>
      </c>
      <c r="I17" s="82"/>
      <c r="J17" s="82">
        <f>+J14*-$E$6</f>
        <v>-10000</v>
      </c>
      <c r="K17" s="83"/>
    </row>
    <row r="18" spans="2:11" x14ac:dyDescent="0.25">
      <c r="C18" s="34" t="s">
        <v>35</v>
      </c>
      <c r="D18" s="6" t="s">
        <v>25</v>
      </c>
      <c r="E18" s="5" t="s">
        <v>58</v>
      </c>
      <c r="F18" s="82">
        <f>+(F14+F16+F17)*-$E$4</f>
        <v>-136537.5</v>
      </c>
      <c r="G18" s="82"/>
      <c r="H18" s="82">
        <f>+(H14+H16+H17)*-$E$4</f>
        <v>-111712.5</v>
      </c>
      <c r="I18" s="82"/>
      <c r="J18" s="82">
        <f>+(J14+J16+J17)*-$E$4</f>
        <v>-124125</v>
      </c>
      <c r="K18" s="83"/>
    </row>
    <row r="19" spans="2:11" x14ac:dyDescent="0.25">
      <c r="C19" s="34" t="s">
        <v>8</v>
      </c>
      <c r="D19" s="6" t="s">
        <v>26</v>
      </c>
      <c r="E19" s="5" t="s">
        <v>59</v>
      </c>
      <c r="F19" s="82">
        <f>+F16+F18+F17</f>
        <v>-175037.5</v>
      </c>
      <c r="G19" s="82"/>
      <c r="H19" s="82">
        <f>+H16+H18+H17</f>
        <v>-143212.5</v>
      </c>
      <c r="I19" s="82"/>
      <c r="J19" s="82">
        <f>+J16+J18+J17</f>
        <v>-159125</v>
      </c>
      <c r="K19" s="83"/>
    </row>
    <row r="20" spans="2:11" x14ac:dyDescent="0.25">
      <c r="C20" s="86"/>
      <c r="D20" s="87"/>
      <c r="E20" s="87"/>
      <c r="F20" s="87"/>
      <c r="G20" s="87"/>
      <c r="H20" s="87"/>
      <c r="I20" s="87"/>
      <c r="J20" s="87"/>
      <c r="K20" s="88"/>
    </row>
    <row r="21" spans="2:11" x14ac:dyDescent="0.25">
      <c r="C21" s="34" t="s">
        <v>9</v>
      </c>
      <c r="D21" s="6" t="s">
        <v>27</v>
      </c>
      <c r="E21" s="5" t="s">
        <v>67</v>
      </c>
      <c r="F21" s="82">
        <f>F12+F19</f>
        <v>5824962.5</v>
      </c>
      <c r="G21" s="82"/>
      <c r="H21" s="82">
        <f>H12+H19</f>
        <v>3856787.5</v>
      </c>
      <c r="I21" s="82"/>
      <c r="J21" s="82">
        <f>J12+J19</f>
        <v>4840875</v>
      </c>
      <c r="K21" s="83"/>
    </row>
    <row r="22" spans="2:11" x14ac:dyDescent="0.25">
      <c r="C22" s="34" t="s">
        <v>10</v>
      </c>
      <c r="D22" s="6" t="s">
        <v>28</v>
      </c>
      <c r="E22" s="5" t="s">
        <v>68</v>
      </c>
      <c r="F22" s="91">
        <f>+F21/F10-1</f>
        <v>0.1649925000000001</v>
      </c>
      <c r="G22" s="91"/>
      <c r="H22" s="91">
        <f>+H21/H10-1</f>
        <v>-0.22864249999999997</v>
      </c>
      <c r="I22" s="91"/>
      <c r="J22" s="91">
        <f>+J21/J10-1</f>
        <v>-3.1824999999999992E-2</v>
      </c>
      <c r="K22" s="92"/>
    </row>
    <row r="23" spans="2:11" x14ac:dyDescent="0.25">
      <c r="C23" s="34"/>
      <c r="D23" s="6"/>
      <c r="E23" s="5"/>
      <c r="F23" s="12"/>
      <c r="G23" s="12"/>
      <c r="H23" s="12"/>
      <c r="I23" s="12"/>
      <c r="J23" s="12"/>
      <c r="K23" s="35"/>
    </row>
    <row r="24" spans="2:11" ht="15.75" thickBot="1" x14ac:dyDescent="0.3">
      <c r="B24" s="48"/>
      <c r="C24" s="96" t="s">
        <v>88</v>
      </c>
      <c r="D24" s="97"/>
      <c r="E24" s="97"/>
      <c r="F24" s="97"/>
      <c r="G24" s="97"/>
      <c r="H24" s="97"/>
      <c r="I24" s="97"/>
      <c r="J24" s="97"/>
      <c r="K24" s="98"/>
    </row>
    <row r="25" spans="2:11" s="4" customFormat="1" ht="41.25" customHeight="1" thickBot="1" x14ac:dyDescent="0.3">
      <c r="B25" s="49">
        <v>1</v>
      </c>
      <c r="C25" s="93" t="s">
        <v>116</v>
      </c>
      <c r="D25" s="94"/>
      <c r="E25" s="94"/>
      <c r="F25" s="94"/>
      <c r="G25" s="94"/>
      <c r="H25" s="94"/>
      <c r="I25" s="94"/>
      <c r="J25" s="94"/>
      <c r="K25" s="95"/>
    </row>
    <row r="26" spans="2:11" s="4" customFormat="1" ht="37.5" customHeight="1" thickBot="1" x14ac:dyDescent="0.3">
      <c r="B26" s="49">
        <f t="shared" ref="B26:B30" si="0">+B25+1</f>
        <v>2</v>
      </c>
      <c r="C26" s="93" t="s">
        <v>61</v>
      </c>
      <c r="D26" s="94"/>
      <c r="E26" s="94"/>
      <c r="F26" s="94"/>
      <c r="G26" s="94"/>
      <c r="H26" s="94"/>
      <c r="I26" s="94"/>
      <c r="J26" s="94"/>
      <c r="K26" s="95"/>
    </row>
    <row r="27" spans="2:11" s="4" customFormat="1" ht="33.75" customHeight="1" thickBot="1" x14ac:dyDescent="0.3">
      <c r="B27" s="49">
        <f t="shared" si="0"/>
        <v>3</v>
      </c>
      <c r="C27" s="93" t="s">
        <v>60</v>
      </c>
      <c r="D27" s="94"/>
      <c r="E27" s="94"/>
      <c r="F27" s="94"/>
      <c r="G27" s="94"/>
      <c r="H27" s="94"/>
      <c r="I27" s="94"/>
      <c r="J27" s="94"/>
      <c r="K27" s="95"/>
    </row>
    <row r="28" spans="2:11" s="4" customFormat="1" ht="29.25" customHeight="1" thickBot="1" x14ac:dyDescent="0.3">
      <c r="B28" s="49">
        <f t="shared" si="0"/>
        <v>4</v>
      </c>
      <c r="C28" s="99" t="s">
        <v>37</v>
      </c>
      <c r="D28" s="100"/>
      <c r="E28" s="100"/>
      <c r="F28" s="100"/>
      <c r="G28" s="100"/>
      <c r="H28" s="100"/>
      <c r="I28" s="100"/>
      <c r="J28" s="100"/>
      <c r="K28" s="101"/>
    </row>
    <row r="29" spans="2:11" s="4" customFormat="1" ht="33.75" customHeight="1" thickBot="1" x14ac:dyDescent="0.3">
      <c r="B29" s="49">
        <f t="shared" si="0"/>
        <v>5</v>
      </c>
      <c r="C29" s="93" t="s">
        <v>62</v>
      </c>
      <c r="D29" s="94"/>
      <c r="E29" s="94"/>
      <c r="F29" s="94"/>
      <c r="G29" s="94"/>
      <c r="H29" s="94"/>
      <c r="I29" s="94"/>
      <c r="J29" s="94"/>
      <c r="K29" s="95"/>
    </row>
    <row r="30" spans="2:11" s="4" customFormat="1" ht="15.75" thickBot="1" x14ac:dyDescent="0.3">
      <c r="B30" s="49">
        <f t="shared" si="0"/>
        <v>6</v>
      </c>
      <c r="C30" s="93" t="s">
        <v>51</v>
      </c>
      <c r="D30" s="94"/>
      <c r="E30" s="94"/>
      <c r="F30" s="94"/>
      <c r="G30" s="94"/>
      <c r="H30" s="94"/>
      <c r="I30" s="94"/>
      <c r="J30" s="94"/>
      <c r="K30" s="95"/>
    </row>
    <row r="31" spans="2:11" s="4" customFormat="1" ht="34.5" customHeight="1" thickBot="1" x14ac:dyDescent="0.3">
      <c r="B31" s="49">
        <f t="shared" ref="B31" si="1">+B30+1</f>
        <v>7</v>
      </c>
      <c r="C31" s="93" t="s">
        <v>64</v>
      </c>
      <c r="D31" s="94"/>
      <c r="E31" s="94"/>
      <c r="F31" s="94"/>
      <c r="G31" s="94"/>
      <c r="H31" s="94"/>
      <c r="I31" s="94"/>
      <c r="J31" s="94"/>
      <c r="K31" s="95"/>
    </row>
    <row r="32" spans="2:11" ht="28.5" customHeight="1" thickBot="1" x14ac:dyDescent="0.3">
      <c r="B32" s="49">
        <v>8</v>
      </c>
      <c r="C32" s="93" t="s">
        <v>103</v>
      </c>
      <c r="D32" s="94"/>
      <c r="E32" s="94"/>
      <c r="F32" s="94"/>
      <c r="G32" s="94"/>
      <c r="H32" s="94"/>
      <c r="I32" s="94"/>
      <c r="J32" s="94"/>
      <c r="K32" s="95"/>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zoomScaleNormal="100" workbookViewId="0">
      <selection activeCell="C1" sqref="C1"/>
    </sheetView>
  </sheetViews>
  <sheetFormatPr defaultColWidth="8.85546875" defaultRowHeight="15" x14ac:dyDescent="0.25"/>
  <cols>
    <col min="1" max="1" width="8.85546875" style="2"/>
    <col min="2" max="2" width="5.42578125" style="45"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24" thickBot="1" x14ac:dyDescent="0.3">
      <c r="C1" s="143" t="s">
        <v>133</v>
      </c>
    </row>
    <row r="2" spans="3:13" x14ac:dyDescent="0.25">
      <c r="C2" s="142" t="s">
        <v>0</v>
      </c>
      <c r="D2" s="30"/>
      <c r="E2" s="31"/>
      <c r="F2" s="38"/>
      <c r="G2" s="38"/>
      <c r="H2" s="38"/>
      <c r="I2" s="38"/>
      <c r="J2" s="38"/>
      <c r="K2" s="38"/>
      <c r="L2" s="38"/>
      <c r="M2" s="39"/>
    </row>
    <row r="3" spans="3:13" x14ac:dyDescent="0.25">
      <c r="C3" s="34" t="s">
        <v>2</v>
      </c>
      <c r="D3" s="6" t="s">
        <v>15</v>
      </c>
      <c r="E3" s="7">
        <v>5000000</v>
      </c>
      <c r="M3" s="40"/>
    </row>
    <row r="4" spans="3:13" x14ac:dyDescent="0.25">
      <c r="C4" s="34" t="s">
        <v>1</v>
      </c>
      <c r="D4" s="6" t="s">
        <v>16</v>
      </c>
      <c r="E4" s="8">
        <v>0</v>
      </c>
      <c r="M4" s="40"/>
    </row>
    <row r="5" spans="3:13" x14ac:dyDescent="0.25">
      <c r="C5" s="34" t="s">
        <v>6</v>
      </c>
      <c r="D5" s="6" t="s">
        <v>17</v>
      </c>
      <c r="E5" s="8">
        <v>5.0000000000000001E-3</v>
      </c>
      <c r="M5" s="40"/>
    </row>
    <row r="6" spans="3:13" x14ac:dyDescent="0.25">
      <c r="C6" s="34" t="s">
        <v>39</v>
      </c>
      <c r="D6" s="6" t="s">
        <v>41</v>
      </c>
      <c r="E6" s="8">
        <v>0.18</v>
      </c>
      <c r="M6" s="40"/>
    </row>
    <row r="7" spans="3:13" x14ac:dyDescent="0.25">
      <c r="C7" s="34" t="s">
        <v>40</v>
      </c>
      <c r="D7" s="6" t="s">
        <v>42</v>
      </c>
      <c r="E7" s="8">
        <v>0.08</v>
      </c>
      <c r="M7" s="40"/>
    </row>
    <row r="8" spans="3:13" x14ac:dyDescent="0.25">
      <c r="C8" s="34" t="s">
        <v>56</v>
      </c>
      <c r="D8" s="6" t="s">
        <v>65</v>
      </c>
      <c r="E8" s="8">
        <v>2E-3</v>
      </c>
      <c r="M8" s="40"/>
    </row>
    <row r="9" spans="3:13" ht="15.75" thickBot="1" x14ac:dyDescent="0.3">
      <c r="C9" s="41"/>
      <c r="F9" s="42"/>
      <c r="M9" s="40"/>
    </row>
    <row r="10" spans="3:13" ht="15.75" thickBot="1" x14ac:dyDescent="0.3">
      <c r="C10" s="77" t="s">
        <v>133</v>
      </c>
      <c r="D10" s="78"/>
      <c r="E10" s="79"/>
      <c r="F10" s="102" t="s">
        <v>12</v>
      </c>
      <c r="G10" s="103"/>
      <c r="H10" s="102" t="s">
        <v>13</v>
      </c>
      <c r="I10" s="103"/>
      <c r="J10" s="102" t="s">
        <v>14</v>
      </c>
      <c r="K10" s="103"/>
      <c r="M10" s="40"/>
    </row>
    <row r="11" spans="3:13" x14ac:dyDescent="0.25">
      <c r="C11" s="77"/>
      <c r="D11" s="78"/>
      <c r="E11" s="78"/>
      <c r="F11" s="65" t="s">
        <v>3</v>
      </c>
      <c r="G11" s="66">
        <v>0.2</v>
      </c>
      <c r="H11" s="9" t="s">
        <v>4</v>
      </c>
      <c r="I11" s="10">
        <v>-0.2</v>
      </c>
      <c r="J11" s="9" t="s">
        <v>5</v>
      </c>
      <c r="K11" s="10">
        <v>0</v>
      </c>
      <c r="M11" s="40"/>
    </row>
    <row r="12" spans="3:13" x14ac:dyDescent="0.25">
      <c r="C12" s="34" t="s">
        <v>11</v>
      </c>
      <c r="D12" s="6" t="s">
        <v>19</v>
      </c>
      <c r="E12" s="11" t="s">
        <v>29</v>
      </c>
      <c r="F12" s="82">
        <f>+$E$3</f>
        <v>5000000</v>
      </c>
      <c r="G12" s="82"/>
      <c r="H12" s="82">
        <f>+$E$3</f>
        <v>5000000</v>
      </c>
      <c r="I12" s="82"/>
      <c r="J12" s="82">
        <f>+$E$3</f>
        <v>5000000</v>
      </c>
      <c r="K12" s="82"/>
      <c r="M12" s="40"/>
    </row>
    <row r="13" spans="3:13" x14ac:dyDescent="0.25">
      <c r="C13" s="34" t="s">
        <v>33</v>
      </c>
      <c r="D13" s="6" t="s">
        <v>20</v>
      </c>
      <c r="E13" s="11" t="s">
        <v>30</v>
      </c>
      <c r="F13" s="82">
        <f>F12*G11</f>
        <v>1000000</v>
      </c>
      <c r="G13" s="82"/>
      <c r="H13" s="82">
        <f>H12*I11</f>
        <v>-1000000</v>
      </c>
      <c r="I13" s="82"/>
      <c r="J13" s="84">
        <f>J12*K11</f>
        <v>0</v>
      </c>
      <c r="K13" s="84"/>
      <c r="M13" s="40"/>
    </row>
    <row r="14" spans="3:13" x14ac:dyDescent="0.25">
      <c r="C14" s="34" t="s">
        <v>7</v>
      </c>
      <c r="D14" s="6" t="s">
        <v>21</v>
      </c>
      <c r="E14" s="11" t="s">
        <v>31</v>
      </c>
      <c r="F14" s="82">
        <f>F12+F13</f>
        <v>6000000</v>
      </c>
      <c r="G14" s="82"/>
      <c r="H14" s="82">
        <f>H12+H13</f>
        <v>4000000</v>
      </c>
      <c r="I14" s="82"/>
      <c r="J14" s="82">
        <f>J12+J13</f>
        <v>5000000</v>
      </c>
      <c r="K14" s="82"/>
      <c r="M14" s="40"/>
    </row>
    <row r="15" spans="3:13" x14ac:dyDescent="0.25">
      <c r="C15" s="86"/>
      <c r="D15" s="87"/>
      <c r="E15" s="87"/>
      <c r="F15" s="87"/>
      <c r="G15" s="87"/>
      <c r="H15" s="87"/>
      <c r="I15" s="87"/>
      <c r="J15" s="87"/>
      <c r="K15" s="87"/>
      <c r="M15" s="40"/>
    </row>
    <row r="16" spans="3:13" x14ac:dyDescent="0.25">
      <c r="C16" s="34" t="s">
        <v>18</v>
      </c>
      <c r="D16" s="6" t="s">
        <v>22</v>
      </c>
      <c r="E16" s="11" t="s">
        <v>32</v>
      </c>
      <c r="F16" s="82">
        <f>(F12+F14)/2</f>
        <v>5500000</v>
      </c>
      <c r="G16" s="82"/>
      <c r="H16" s="82">
        <f>(H12+H14)/2</f>
        <v>4500000</v>
      </c>
      <c r="I16" s="82"/>
      <c r="J16" s="82">
        <f>(J12+J14)/2</f>
        <v>5000000</v>
      </c>
      <c r="K16" s="82"/>
      <c r="M16" s="40"/>
    </row>
    <row r="17" spans="3:13" x14ac:dyDescent="0.25">
      <c r="C17" s="86"/>
      <c r="D17" s="87"/>
      <c r="E17" s="87"/>
      <c r="F17" s="87"/>
      <c r="G17" s="87"/>
      <c r="H17" s="87"/>
      <c r="I17" s="87"/>
      <c r="J17" s="87"/>
      <c r="K17" s="87"/>
      <c r="M17" s="40"/>
    </row>
    <row r="18" spans="3:13" x14ac:dyDescent="0.25">
      <c r="C18" s="34" t="s">
        <v>34</v>
      </c>
      <c r="D18" s="6" t="s">
        <v>23</v>
      </c>
      <c r="E18" s="11" t="s">
        <v>55</v>
      </c>
      <c r="F18" s="82">
        <f>+F16*-$E$5</f>
        <v>-27500</v>
      </c>
      <c r="G18" s="82"/>
      <c r="H18" s="82">
        <f>+H16*-$E$5</f>
        <v>-22500</v>
      </c>
      <c r="I18" s="82"/>
      <c r="J18" s="82">
        <f>+J16*-$E$5</f>
        <v>-25000</v>
      </c>
      <c r="K18" s="82"/>
      <c r="M18" s="40"/>
    </row>
    <row r="19" spans="3:13" x14ac:dyDescent="0.25">
      <c r="C19" s="34" t="s">
        <v>56</v>
      </c>
      <c r="D19" s="6" t="s">
        <v>24</v>
      </c>
      <c r="E19" s="11" t="s">
        <v>66</v>
      </c>
      <c r="F19" s="82">
        <f>+F16*-$E$8</f>
        <v>-11000</v>
      </c>
      <c r="G19" s="82"/>
      <c r="H19" s="82">
        <f>+H16*-$E$8</f>
        <v>-9000</v>
      </c>
      <c r="I19" s="82"/>
      <c r="J19" s="82">
        <f>+J16*-$E$8</f>
        <v>-10000</v>
      </c>
      <c r="K19" s="82"/>
      <c r="M19" s="40"/>
    </row>
    <row r="20" spans="3:13" x14ac:dyDescent="0.25">
      <c r="C20" s="34" t="s">
        <v>35</v>
      </c>
      <c r="D20" s="6" t="s">
        <v>25</v>
      </c>
      <c r="E20" s="5" t="s">
        <v>58</v>
      </c>
      <c r="F20" s="82">
        <f>+(F16+F18+F19)*-$E$4</f>
        <v>0</v>
      </c>
      <c r="G20" s="82"/>
      <c r="H20" s="82">
        <f>+(H16+H18+H19)*-$E$4</f>
        <v>0</v>
      </c>
      <c r="I20" s="82"/>
      <c r="J20" s="82">
        <f>+(J16+J18+J19)*-$E$4</f>
        <v>0</v>
      </c>
      <c r="K20" s="82"/>
      <c r="M20" s="40"/>
    </row>
    <row r="21" spans="3:13" x14ac:dyDescent="0.25">
      <c r="C21" s="34" t="s">
        <v>69</v>
      </c>
      <c r="D21" s="6" t="s">
        <v>26</v>
      </c>
      <c r="E21" s="5" t="s">
        <v>59</v>
      </c>
      <c r="F21" s="82">
        <f>+F18+F20+F19</f>
        <v>-38500</v>
      </c>
      <c r="G21" s="82"/>
      <c r="H21" s="82">
        <f>+H18+H20+H19</f>
        <v>-31500</v>
      </c>
      <c r="I21" s="82"/>
      <c r="J21" s="82">
        <f>+J18+J20+J19</f>
        <v>-35000</v>
      </c>
      <c r="K21" s="82"/>
      <c r="M21" s="40"/>
    </row>
    <row r="22" spans="3:13" x14ac:dyDescent="0.25">
      <c r="C22" s="86"/>
      <c r="D22" s="87"/>
      <c r="E22" s="87"/>
      <c r="F22" s="87"/>
      <c r="G22" s="87"/>
      <c r="H22" s="87"/>
      <c r="I22" s="87"/>
      <c r="J22" s="87"/>
      <c r="K22" s="87"/>
      <c r="M22" s="40"/>
    </row>
    <row r="23" spans="3:13" x14ac:dyDescent="0.25">
      <c r="C23" s="34" t="s">
        <v>43</v>
      </c>
      <c r="D23" s="6" t="s">
        <v>27</v>
      </c>
      <c r="E23" s="5" t="s">
        <v>67</v>
      </c>
      <c r="F23" s="82">
        <f>F14+F21</f>
        <v>5961500</v>
      </c>
      <c r="G23" s="82"/>
      <c r="H23" s="82">
        <f>H14+H21</f>
        <v>3968500</v>
      </c>
      <c r="I23" s="82"/>
      <c r="J23" s="82">
        <f>J14+J21</f>
        <v>4965000</v>
      </c>
      <c r="K23" s="82"/>
      <c r="M23" s="40"/>
    </row>
    <row r="24" spans="3:13" ht="45" x14ac:dyDescent="0.25">
      <c r="C24" s="34" t="s">
        <v>71</v>
      </c>
      <c r="D24" s="6" t="s">
        <v>28</v>
      </c>
      <c r="E24" s="5"/>
      <c r="F24" s="82">
        <f>F12</f>
        <v>5000000</v>
      </c>
      <c r="G24" s="82"/>
      <c r="H24" s="82">
        <f>H12</f>
        <v>5000000</v>
      </c>
      <c r="I24" s="82"/>
      <c r="J24" s="82">
        <f>J12</f>
        <v>5000000</v>
      </c>
      <c r="K24" s="82"/>
      <c r="M24" s="40"/>
    </row>
    <row r="25" spans="3:13" ht="30" x14ac:dyDescent="0.25">
      <c r="C25" s="37" t="s">
        <v>72</v>
      </c>
      <c r="D25" s="6" t="s">
        <v>45</v>
      </c>
      <c r="E25" s="13" t="s">
        <v>70</v>
      </c>
      <c r="F25" s="82">
        <f>(F24*$E$7)</f>
        <v>400000</v>
      </c>
      <c r="G25" s="82"/>
      <c r="H25" s="82">
        <f>(H24*$E$7)</f>
        <v>400000</v>
      </c>
      <c r="I25" s="82"/>
      <c r="J25" s="82">
        <f>(J24*$E$7)</f>
        <v>400000</v>
      </c>
      <c r="K25" s="82"/>
      <c r="M25" s="40"/>
    </row>
    <row r="26" spans="3:13" ht="45" x14ac:dyDescent="0.25">
      <c r="C26" s="34" t="s">
        <v>73</v>
      </c>
      <c r="D26" s="6" t="s">
        <v>46</v>
      </c>
      <c r="E26" s="5" t="s">
        <v>74</v>
      </c>
      <c r="F26" s="82" t="str">
        <f>IF(F23&gt;(F24+F25),("Yes"),("No Pfee"))</f>
        <v>Yes</v>
      </c>
      <c r="G26" s="82"/>
      <c r="H26" s="82" t="str">
        <f>IF(H23&gt;(H24+H25),("Yes"),("No Pfee"))</f>
        <v>No Pfee</v>
      </c>
      <c r="I26" s="82"/>
      <c r="J26" s="82" t="str">
        <f>IF(J23&gt;(J24+J25),("Yes"),("No Pfee"))</f>
        <v>No Pfee</v>
      </c>
      <c r="K26" s="82"/>
      <c r="M26" s="40"/>
    </row>
    <row r="27" spans="3:13" x14ac:dyDescent="0.25">
      <c r="C27" s="104" t="s">
        <v>44</v>
      </c>
      <c r="D27" s="105"/>
      <c r="E27" s="105"/>
      <c r="F27" s="105"/>
      <c r="G27" s="105"/>
      <c r="H27" s="105"/>
      <c r="I27" s="105"/>
      <c r="J27" s="105"/>
      <c r="K27" s="105"/>
      <c r="M27" s="40"/>
    </row>
    <row r="28" spans="3:13" x14ac:dyDescent="0.25">
      <c r="C28" s="34" t="s">
        <v>53</v>
      </c>
      <c r="D28" s="6" t="s">
        <v>47</v>
      </c>
      <c r="E28" s="5" t="s">
        <v>75</v>
      </c>
      <c r="F28" s="82">
        <f>+IF(F26="Yes",(F23-F24-F25),(0))</f>
        <v>561500</v>
      </c>
      <c r="G28" s="82"/>
      <c r="H28" s="82">
        <f>+IF(H26="Yes",(H23-H24-H25),(0))</f>
        <v>0</v>
      </c>
      <c r="I28" s="82"/>
      <c r="J28" s="82">
        <f>+IF(J26="Yes",(J23-J24-J25),(0))</f>
        <v>0</v>
      </c>
      <c r="K28" s="82"/>
      <c r="M28" s="40"/>
    </row>
    <row r="29" spans="3:13" x14ac:dyDescent="0.25">
      <c r="C29" s="37" t="s">
        <v>48</v>
      </c>
      <c r="D29" s="6" t="s">
        <v>49</v>
      </c>
      <c r="E29" s="13" t="s">
        <v>76</v>
      </c>
      <c r="F29" s="82">
        <f>+F28*-$E$6</f>
        <v>-101070</v>
      </c>
      <c r="G29" s="82"/>
      <c r="H29" s="82">
        <f>+H28*-$E$6</f>
        <v>0</v>
      </c>
      <c r="I29" s="82"/>
      <c r="J29" s="82">
        <f>+J28*-$E$6</f>
        <v>0</v>
      </c>
      <c r="K29" s="82"/>
      <c r="M29" s="40"/>
    </row>
    <row r="30" spans="3:13" x14ac:dyDescent="0.25">
      <c r="C30" s="36"/>
      <c r="D30" s="6"/>
      <c r="E30" s="6"/>
      <c r="F30" s="6"/>
      <c r="G30" s="6"/>
      <c r="H30" s="6"/>
      <c r="I30" s="6"/>
      <c r="J30" s="6"/>
      <c r="K30" s="6"/>
      <c r="M30" s="40"/>
    </row>
    <row r="31" spans="3:13" ht="30" x14ac:dyDescent="0.25">
      <c r="C31" s="34" t="s">
        <v>54</v>
      </c>
      <c r="D31" s="6" t="s">
        <v>50</v>
      </c>
      <c r="E31" s="5" t="s">
        <v>77</v>
      </c>
      <c r="F31" s="82">
        <f>+F23+F29</f>
        <v>5860430</v>
      </c>
      <c r="G31" s="82"/>
      <c r="H31" s="82">
        <f>+H23+H29</f>
        <v>3968500</v>
      </c>
      <c r="I31" s="82"/>
      <c r="J31" s="82">
        <f>+J23+J29</f>
        <v>4965000</v>
      </c>
      <c r="K31" s="82"/>
      <c r="M31" s="40"/>
    </row>
    <row r="32" spans="3:13" x14ac:dyDescent="0.25">
      <c r="C32" s="34" t="s">
        <v>10</v>
      </c>
      <c r="D32" s="6" t="s">
        <v>52</v>
      </c>
      <c r="E32" s="5" t="s">
        <v>78</v>
      </c>
      <c r="F32" s="91">
        <f>+F31/F12-1</f>
        <v>0.17208599999999996</v>
      </c>
      <c r="G32" s="91"/>
      <c r="H32" s="91">
        <f>+H31/H12-1</f>
        <v>-0.20630000000000004</v>
      </c>
      <c r="I32" s="91"/>
      <c r="J32" s="91">
        <f>+J31/J12-1</f>
        <v>-7.0000000000000062E-3</v>
      </c>
      <c r="K32" s="91"/>
      <c r="M32" s="40"/>
    </row>
    <row r="33" spans="2:13" x14ac:dyDescent="0.25">
      <c r="C33" s="36"/>
      <c r="D33" s="6"/>
      <c r="E33" s="6"/>
      <c r="F33" s="6"/>
      <c r="G33" s="6"/>
      <c r="H33" s="6"/>
      <c r="I33" s="6"/>
      <c r="J33" s="6"/>
      <c r="K33" s="6"/>
      <c r="M33" s="40"/>
    </row>
    <row r="34" spans="2:13" ht="45" x14ac:dyDescent="0.25">
      <c r="C34" s="34" t="s">
        <v>112</v>
      </c>
      <c r="D34" s="6" t="s">
        <v>80</v>
      </c>
      <c r="E34" s="5" t="s">
        <v>87</v>
      </c>
      <c r="F34" s="82">
        <f>MAX(F24,F31)</f>
        <v>5860430</v>
      </c>
      <c r="G34" s="82"/>
      <c r="H34" s="82">
        <f>MAX(H24,H31)</f>
        <v>5000000</v>
      </c>
      <c r="I34" s="82"/>
      <c r="J34" s="82">
        <f>MAX(J24,J31)</f>
        <v>5000000</v>
      </c>
      <c r="K34" s="82"/>
      <c r="M34" s="40"/>
    </row>
    <row r="35" spans="2:13" ht="45" x14ac:dyDescent="0.25">
      <c r="C35" s="34" t="s">
        <v>113</v>
      </c>
      <c r="D35" s="6" t="s">
        <v>80</v>
      </c>
      <c r="E35" s="5" t="s">
        <v>86</v>
      </c>
      <c r="F35" s="82">
        <f>MAX(F24,F23)</f>
        <v>5961500</v>
      </c>
      <c r="G35" s="82"/>
      <c r="H35" s="82">
        <f>MAX(H24,H23)</f>
        <v>5000000</v>
      </c>
      <c r="I35" s="82"/>
      <c r="J35" s="82">
        <f>MAX(J24,J23)</f>
        <v>5000000</v>
      </c>
      <c r="K35" s="82"/>
      <c r="M35" s="40"/>
    </row>
    <row r="36" spans="2:13" x14ac:dyDescent="0.25">
      <c r="C36" s="41"/>
      <c r="F36" s="43"/>
      <c r="G36" s="43"/>
      <c r="H36" s="43"/>
      <c r="I36" s="43"/>
      <c r="J36" s="43"/>
      <c r="K36" s="43"/>
      <c r="L36" s="43"/>
      <c r="M36" s="44"/>
    </row>
    <row r="37" spans="2:13" ht="15.75" thickBot="1" x14ac:dyDescent="0.3">
      <c r="B37" s="46"/>
      <c r="C37" s="109" t="s">
        <v>88</v>
      </c>
      <c r="D37" s="110"/>
      <c r="E37" s="110"/>
      <c r="F37" s="110"/>
      <c r="G37" s="110"/>
      <c r="H37" s="110"/>
      <c r="I37" s="110"/>
      <c r="J37" s="110"/>
      <c r="K37" s="110"/>
      <c r="L37" s="110"/>
      <c r="M37" s="111"/>
    </row>
    <row r="38" spans="2:13" ht="42.75" customHeight="1" thickBot="1" x14ac:dyDescent="0.3">
      <c r="B38" s="47">
        <v>1</v>
      </c>
      <c r="C38" s="106" t="s">
        <v>115</v>
      </c>
      <c r="D38" s="107"/>
      <c r="E38" s="107"/>
      <c r="F38" s="107"/>
      <c r="G38" s="107"/>
      <c r="H38" s="107"/>
      <c r="I38" s="107"/>
      <c r="J38" s="107"/>
      <c r="K38" s="107"/>
      <c r="L38" s="107"/>
      <c r="M38" s="108"/>
    </row>
    <row r="39" spans="2:13" ht="40.5" customHeight="1" thickBot="1" x14ac:dyDescent="0.3">
      <c r="B39" s="47">
        <f t="shared" ref="B39:B48" si="0">+B38+1</f>
        <v>2</v>
      </c>
      <c r="C39" s="106" t="s">
        <v>81</v>
      </c>
      <c r="D39" s="107"/>
      <c r="E39" s="107"/>
      <c r="F39" s="107"/>
      <c r="G39" s="107"/>
      <c r="H39" s="107"/>
      <c r="I39" s="107"/>
      <c r="J39" s="107"/>
      <c r="K39" s="107"/>
      <c r="L39" s="107"/>
      <c r="M39" s="108"/>
    </row>
    <row r="40" spans="2:13" ht="15.75" thickBot="1" x14ac:dyDescent="0.3">
      <c r="B40" s="47">
        <f t="shared" si="0"/>
        <v>3</v>
      </c>
      <c r="C40" s="106" t="s">
        <v>60</v>
      </c>
      <c r="D40" s="107"/>
      <c r="E40" s="107"/>
      <c r="F40" s="107"/>
      <c r="G40" s="107"/>
      <c r="H40" s="107"/>
      <c r="I40" s="107"/>
      <c r="J40" s="107"/>
      <c r="K40" s="107"/>
      <c r="L40" s="107"/>
      <c r="M40" s="108"/>
    </row>
    <row r="41" spans="2:13" ht="32.25" customHeight="1" thickBot="1" x14ac:dyDescent="0.3">
      <c r="B41" s="47">
        <f t="shared" si="0"/>
        <v>4</v>
      </c>
      <c r="C41" s="112" t="s">
        <v>37</v>
      </c>
      <c r="D41" s="113"/>
      <c r="E41" s="113"/>
      <c r="F41" s="113"/>
      <c r="G41" s="113"/>
      <c r="H41" s="113"/>
      <c r="I41" s="113"/>
      <c r="J41" s="113"/>
      <c r="K41" s="113"/>
      <c r="L41" s="113"/>
      <c r="M41" s="114"/>
    </row>
    <row r="42" spans="2:13" ht="45" customHeight="1" thickBot="1" x14ac:dyDescent="0.3">
      <c r="B42" s="47">
        <f t="shared" si="0"/>
        <v>5</v>
      </c>
      <c r="C42" s="106" t="s">
        <v>62</v>
      </c>
      <c r="D42" s="107"/>
      <c r="E42" s="107"/>
      <c r="F42" s="107"/>
      <c r="G42" s="107"/>
      <c r="H42" s="107"/>
      <c r="I42" s="107"/>
      <c r="J42" s="107"/>
      <c r="K42" s="107"/>
      <c r="L42" s="107"/>
      <c r="M42" s="108"/>
    </row>
    <row r="43" spans="2:13" ht="15.75" thickBot="1" x14ac:dyDescent="0.3">
      <c r="B43" s="47">
        <f t="shared" si="0"/>
        <v>6</v>
      </c>
      <c r="C43" s="106" t="s">
        <v>51</v>
      </c>
      <c r="D43" s="107"/>
      <c r="E43" s="107"/>
      <c r="F43" s="107"/>
      <c r="G43" s="107"/>
      <c r="H43" s="107"/>
      <c r="I43" s="107"/>
      <c r="J43" s="107"/>
      <c r="K43" s="107"/>
      <c r="L43" s="107"/>
      <c r="M43" s="108"/>
    </row>
    <row r="44" spans="2:13" ht="46.5" customHeight="1" thickBot="1" x14ac:dyDescent="0.3">
      <c r="B44" s="47">
        <f t="shared" si="0"/>
        <v>7</v>
      </c>
      <c r="C44" s="106" t="s">
        <v>83</v>
      </c>
      <c r="D44" s="107"/>
      <c r="E44" s="107"/>
      <c r="F44" s="107"/>
      <c r="G44" s="107"/>
      <c r="H44" s="107"/>
      <c r="I44" s="107"/>
      <c r="J44" s="107"/>
      <c r="K44" s="107"/>
      <c r="L44" s="107"/>
      <c r="M44" s="108"/>
    </row>
    <row r="45" spans="2:13" ht="34.5" customHeight="1" thickBot="1" x14ac:dyDescent="0.3">
      <c r="B45" s="47">
        <f t="shared" si="0"/>
        <v>8</v>
      </c>
      <c r="C45" s="106" t="s">
        <v>84</v>
      </c>
      <c r="D45" s="107"/>
      <c r="E45" s="107"/>
      <c r="F45" s="107"/>
      <c r="G45" s="107"/>
      <c r="H45" s="107"/>
      <c r="I45" s="107"/>
      <c r="J45" s="107"/>
      <c r="K45" s="107"/>
      <c r="L45" s="107"/>
      <c r="M45" s="108"/>
    </row>
    <row r="46" spans="2:13" ht="15.75" thickBot="1" x14ac:dyDescent="0.3">
      <c r="B46" s="47">
        <f t="shared" si="0"/>
        <v>9</v>
      </c>
      <c r="C46" s="106" t="s">
        <v>82</v>
      </c>
      <c r="D46" s="107"/>
      <c r="E46" s="107"/>
      <c r="F46" s="107"/>
      <c r="G46" s="107"/>
      <c r="H46" s="107"/>
      <c r="I46" s="107"/>
      <c r="J46" s="107"/>
      <c r="K46" s="107"/>
      <c r="L46" s="107"/>
      <c r="M46" s="108"/>
    </row>
    <row r="47" spans="2:13" ht="15.75" thickBot="1" x14ac:dyDescent="0.3">
      <c r="B47" s="47">
        <f t="shared" si="0"/>
        <v>10</v>
      </c>
      <c r="C47" s="106" t="s">
        <v>85</v>
      </c>
      <c r="D47" s="107"/>
      <c r="E47" s="107"/>
      <c r="F47" s="107"/>
      <c r="G47" s="107"/>
      <c r="H47" s="107"/>
      <c r="I47" s="107"/>
      <c r="J47" s="107"/>
      <c r="K47" s="107"/>
      <c r="L47" s="107"/>
      <c r="M47" s="108"/>
    </row>
    <row r="48" spans="2:13" ht="15.75" thickBot="1" x14ac:dyDescent="0.3">
      <c r="B48" s="47">
        <f t="shared" si="0"/>
        <v>11</v>
      </c>
      <c r="C48" s="106" t="s">
        <v>64</v>
      </c>
      <c r="D48" s="107"/>
      <c r="E48" s="107"/>
      <c r="F48" s="107"/>
      <c r="G48" s="107"/>
      <c r="H48" s="107"/>
      <c r="I48" s="107"/>
      <c r="J48" s="107"/>
      <c r="K48" s="107"/>
      <c r="L48" s="107"/>
      <c r="M48" s="108"/>
    </row>
    <row r="49" spans="2:13" ht="15.75" thickBot="1" x14ac:dyDescent="0.3">
      <c r="B49" s="47">
        <v>12</v>
      </c>
      <c r="C49" s="93" t="s">
        <v>103</v>
      </c>
      <c r="D49" s="94"/>
      <c r="E49" s="94"/>
      <c r="F49" s="94"/>
      <c r="G49" s="94"/>
      <c r="H49" s="94"/>
      <c r="I49" s="94"/>
      <c r="J49" s="94"/>
      <c r="K49" s="94"/>
      <c r="L49" s="94"/>
      <c r="M49" s="95"/>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zoomScaleNormal="100" workbookViewId="0">
      <selection activeCell="C1" sqref="C1"/>
    </sheetView>
  </sheetViews>
  <sheetFormatPr defaultColWidth="8.85546875" defaultRowHeight="15" x14ac:dyDescent="0.25"/>
  <cols>
    <col min="1" max="1" width="8.85546875" style="2"/>
    <col min="2" max="2" width="5.42578125" style="45"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24" thickBot="1" x14ac:dyDescent="0.3">
      <c r="C1" s="140" t="s">
        <v>132</v>
      </c>
    </row>
    <row r="2" spans="3:13" x14ac:dyDescent="0.25">
      <c r="C2" s="29" t="s">
        <v>0</v>
      </c>
      <c r="D2" s="30"/>
      <c r="E2" s="31"/>
      <c r="F2" s="32"/>
      <c r="G2" s="32"/>
      <c r="H2" s="32"/>
      <c r="I2" s="32"/>
      <c r="J2" s="32"/>
      <c r="K2" s="32"/>
      <c r="L2" s="32"/>
      <c r="M2" s="33"/>
    </row>
    <row r="3" spans="3:13" x14ac:dyDescent="0.25">
      <c r="C3" s="34" t="s">
        <v>2</v>
      </c>
      <c r="D3" s="6" t="s">
        <v>15</v>
      </c>
      <c r="E3" s="7">
        <v>5000000</v>
      </c>
      <c r="F3" s="12"/>
      <c r="G3" s="12"/>
      <c r="H3" s="12"/>
      <c r="I3" s="12"/>
      <c r="J3" s="12"/>
      <c r="K3" s="12"/>
      <c r="L3" s="12"/>
      <c r="M3" s="35"/>
    </row>
    <row r="4" spans="3:13" x14ac:dyDescent="0.25">
      <c r="C4" s="34" t="s">
        <v>1</v>
      </c>
      <c r="D4" s="6" t="s">
        <v>16</v>
      </c>
      <c r="E4" s="8">
        <v>1.4999999999999999E-2</v>
      </c>
      <c r="F4" s="12"/>
      <c r="G4" s="12"/>
      <c r="H4" s="12"/>
      <c r="I4" s="12"/>
      <c r="J4" s="12"/>
      <c r="K4" s="12"/>
      <c r="L4" s="12"/>
      <c r="M4" s="35"/>
    </row>
    <row r="5" spans="3:13" x14ac:dyDescent="0.25">
      <c r="C5" s="34" t="s">
        <v>6</v>
      </c>
      <c r="D5" s="6" t="s">
        <v>17</v>
      </c>
      <c r="E5" s="8">
        <v>5.0000000000000001E-3</v>
      </c>
      <c r="F5" s="12"/>
      <c r="G5" s="12"/>
      <c r="H5" s="12"/>
      <c r="I5" s="12"/>
      <c r="J5" s="12"/>
      <c r="K5" s="12"/>
      <c r="L5" s="12"/>
      <c r="M5" s="35"/>
    </row>
    <row r="6" spans="3:13" x14ac:dyDescent="0.25">
      <c r="C6" s="34" t="s">
        <v>39</v>
      </c>
      <c r="D6" s="6" t="s">
        <v>41</v>
      </c>
      <c r="E6" s="8">
        <v>0.18</v>
      </c>
      <c r="F6" s="12"/>
      <c r="G6" s="12"/>
      <c r="H6" s="12"/>
      <c r="I6" s="12"/>
      <c r="J6" s="12"/>
      <c r="K6" s="12"/>
      <c r="L6" s="12"/>
      <c r="M6" s="35"/>
    </row>
    <row r="7" spans="3:13" x14ac:dyDescent="0.25">
      <c r="C7" s="34" t="s">
        <v>40</v>
      </c>
      <c r="D7" s="6" t="s">
        <v>42</v>
      </c>
      <c r="E7" s="8">
        <v>0.08</v>
      </c>
      <c r="F7" s="12"/>
      <c r="G7" s="12"/>
      <c r="H7" s="12"/>
      <c r="I7" s="12"/>
      <c r="J7" s="12"/>
      <c r="K7" s="12"/>
      <c r="L7" s="12"/>
      <c r="M7" s="35"/>
    </row>
    <row r="8" spans="3:13" x14ac:dyDescent="0.25">
      <c r="C8" s="34" t="s">
        <v>56</v>
      </c>
      <c r="D8" s="6" t="s">
        <v>65</v>
      </c>
      <c r="E8" s="8">
        <v>2E-3</v>
      </c>
      <c r="F8" s="12"/>
      <c r="G8" s="12"/>
      <c r="H8" s="12"/>
      <c r="I8" s="12"/>
      <c r="J8" s="12"/>
      <c r="K8" s="12"/>
      <c r="L8" s="12"/>
      <c r="M8" s="35"/>
    </row>
    <row r="9" spans="3:13" ht="15.75" thickBot="1" x14ac:dyDescent="0.3">
      <c r="C9" s="34"/>
      <c r="D9" s="6"/>
      <c r="E9" s="5"/>
      <c r="F9" s="64"/>
      <c r="G9" s="28"/>
      <c r="H9" s="12"/>
      <c r="I9" s="12"/>
      <c r="J9" s="12"/>
      <c r="K9" s="12"/>
      <c r="L9" s="12"/>
      <c r="M9" s="35"/>
    </row>
    <row r="10" spans="3:13" ht="15.75" thickBot="1" x14ac:dyDescent="0.3">
      <c r="C10" s="77" t="s">
        <v>79</v>
      </c>
      <c r="D10" s="78"/>
      <c r="E10" s="79"/>
      <c r="F10" s="102" t="s">
        <v>12</v>
      </c>
      <c r="G10" s="103"/>
      <c r="H10" s="102" t="s">
        <v>13</v>
      </c>
      <c r="I10" s="103"/>
      <c r="J10" s="102" t="s">
        <v>14</v>
      </c>
      <c r="K10" s="103"/>
      <c r="L10" s="12"/>
      <c r="M10" s="35"/>
    </row>
    <row r="11" spans="3:13" x14ac:dyDescent="0.25">
      <c r="C11" s="77"/>
      <c r="D11" s="78"/>
      <c r="E11" s="78"/>
      <c r="F11" s="65" t="s">
        <v>3</v>
      </c>
      <c r="G11" s="66">
        <v>0.2</v>
      </c>
      <c r="H11" s="9" t="s">
        <v>4</v>
      </c>
      <c r="I11" s="10">
        <v>-0.2</v>
      </c>
      <c r="J11" s="9" t="s">
        <v>5</v>
      </c>
      <c r="K11" s="10">
        <v>0</v>
      </c>
      <c r="L11" s="12"/>
      <c r="M11" s="35"/>
    </row>
    <row r="12" spans="3:13" x14ac:dyDescent="0.25">
      <c r="C12" s="34" t="s">
        <v>11</v>
      </c>
      <c r="D12" s="6" t="s">
        <v>19</v>
      </c>
      <c r="E12" s="11" t="s">
        <v>29</v>
      </c>
      <c r="F12" s="82">
        <f>+$E$3</f>
        <v>5000000</v>
      </c>
      <c r="G12" s="82"/>
      <c r="H12" s="82">
        <f>+$E$3</f>
        <v>5000000</v>
      </c>
      <c r="I12" s="82"/>
      <c r="J12" s="82">
        <f>+$E$3</f>
        <v>5000000</v>
      </c>
      <c r="K12" s="82"/>
      <c r="L12" s="12"/>
      <c r="M12" s="35"/>
    </row>
    <row r="13" spans="3:13" x14ac:dyDescent="0.25">
      <c r="C13" s="34" t="s">
        <v>33</v>
      </c>
      <c r="D13" s="6" t="s">
        <v>20</v>
      </c>
      <c r="E13" s="11" t="s">
        <v>30</v>
      </c>
      <c r="F13" s="82">
        <f>F12*G11</f>
        <v>1000000</v>
      </c>
      <c r="G13" s="82"/>
      <c r="H13" s="82">
        <f>H12*I11</f>
        <v>-1000000</v>
      </c>
      <c r="I13" s="82"/>
      <c r="J13" s="84">
        <f>J12*K11</f>
        <v>0</v>
      </c>
      <c r="K13" s="84"/>
      <c r="L13" s="12"/>
      <c r="M13" s="35"/>
    </row>
    <row r="14" spans="3:13" x14ac:dyDescent="0.25">
      <c r="C14" s="34" t="s">
        <v>7</v>
      </c>
      <c r="D14" s="6" t="s">
        <v>21</v>
      </c>
      <c r="E14" s="11" t="s">
        <v>31</v>
      </c>
      <c r="F14" s="82">
        <f>F12+F13</f>
        <v>6000000</v>
      </c>
      <c r="G14" s="82"/>
      <c r="H14" s="82">
        <f>H12+H13</f>
        <v>4000000</v>
      </c>
      <c r="I14" s="82"/>
      <c r="J14" s="82">
        <f>J12+J13</f>
        <v>5000000</v>
      </c>
      <c r="K14" s="82"/>
      <c r="L14" s="12"/>
      <c r="M14" s="35"/>
    </row>
    <row r="15" spans="3:13" x14ac:dyDescent="0.25">
      <c r="C15" s="86"/>
      <c r="D15" s="87"/>
      <c r="E15" s="87"/>
      <c r="F15" s="87"/>
      <c r="G15" s="87"/>
      <c r="H15" s="87"/>
      <c r="I15" s="87"/>
      <c r="J15" s="87"/>
      <c r="K15" s="87"/>
      <c r="L15" s="12"/>
      <c r="M15" s="35"/>
    </row>
    <row r="16" spans="3:13" x14ac:dyDescent="0.25">
      <c r="C16" s="34" t="s">
        <v>18</v>
      </c>
      <c r="D16" s="6" t="s">
        <v>22</v>
      </c>
      <c r="E16" s="11" t="s">
        <v>32</v>
      </c>
      <c r="F16" s="89">
        <f>(F12+F14)/2</f>
        <v>5500000</v>
      </c>
      <c r="G16" s="89"/>
      <c r="H16" s="89">
        <f>(H12+H14)/2</f>
        <v>4500000</v>
      </c>
      <c r="I16" s="89"/>
      <c r="J16" s="89">
        <f>(J12+J14)/2</f>
        <v>5000000</v>
      </c>
      <c r="K16" s="89"/>
      <c r="L16" s="12"/>
      <c r="M16" s="35"/>
    </row>
    <row r="17" spans="3:13" x14ac:dyDescent="0.25">
      <c r="C17" s="86"/>
      <c r="D17" s="87"/>
      <c r="E17" s="87"/>
      <c r="F17" s="87"/>
      <c r="G17" s="87"/>
      <c r="H17" s="87"/>
      <c r="I17" s="87"/>
      <c r="J17" s="87"/>
      <c r="K17" s="87"/>
      <c r="L17" s="12"/>
      <c r="M17" s="35"/>
    </row>
    <row r="18" spans="3:13" x14ac:dyDescent="0.25">
      <c r="C18" s="34" t="s">
        <v>34</v>
      </c>
      <c r="D18" s="6" t="s">
        <v>23</v>
      </c>
      <c r="E18" s="11" t="s">
        <v>55</v>
      </c>
      <c r="F18" s="82">
        <f>+F16*-$E$5</f>
        <v>-27500</v>
      </c>
      <c r="G18" s="82"/>
      <c r="H18" s="82">
        <f>+H16*-$E$5</f>
        <v>-22500</v>
      </c>
      <c r="I18" s="82"/>
      <c r="J18" s="82">
        <f>+J16*-$E$5</f>
        <v>-25000</v>
      </c>
      <c r="K18" s="82"/>
      <c r="L18" s="12"/>
      <c r="M18" s="35"/>
    </row>
    <row r="19" spans="3:13" x14ac:dyDescent="0.25">
      <c r="C19" s="34" t="s">
        <v>56</v>
      </c>
      <c r="D19" s="6" t="s">
        <v>24</v>
      </c>
      <c r="E19" s="11" t="s">
        <v>66</v>
      </c>
      <c r="F19" s="82">
        <f>+F16*-$E$8</f>
        <v>-11000</v>
      </c>
      <c r="G19" s="82"/>
      <c r="H19" s="82">
        <f>+H16*-$E$8</f>
        <v>-9000</v>
      </c>
      <c r="I19" s="82"/>
      <c r="J19" s="82">
        <f>+J16*-$E$8</f>
        <v>-10000</v>
      </c>
      <c r="K19" s="82"/>
      <c r="L19" s="12"/>
      <c r="M19" s="35"/>
    </row>
    <row r="20" spans="3:13" x14ac:dyDescent="0.25">
      <c r="C20" s="34" t="s">
        <v>35</v>
      </c>
      <c r="D20" s="6" t="s">
        <v>25</v>
      </c>
      <c r="E20" s="5" t="s">
        <v>58</v>
      </c>
      <c r="F20" s="82">
        <f>+(F16+F18+F19)*-$E$4</f>
        <v>-81922.5</v>
      </c>
      <c r="G20" s="82"/>
      <c r="H20" s="82">
        <f>+(H16+H18+H19)*-$E$4</f>
        <v>-67027.5</v>
      </c>
      <c r="I20" s="82"/>
      <c r="J20" s="82">
        <f>+(J16+J18+J19)*-$E$4</f>
        <v>-74475</v>
      </c>
      <c r="K20" s="82"/>
      <c r="L20" s="12"/>
      <c r="M20" s="35"/>
    </row>
    <row r="21" spans="3:13" x14ac:dyDescent="0.25">
      <c r="C21" s="34" t="s">
        <v>69</v>
      </c>
      <c r="D21" s="6" t="s">
        <v>26</v>
      </c>
      <c r="E21" s="5" t="s">
        <v>59</v>
      </c>
      <c r="F21" s="82">
        <f>+F18+F20+F19</f>
        <v>-120422.5</v>
      </c>
      <c r="G21" s="82"/>
      <c r="H21" s="82">
        <f>+H18+H20+H19</f>
        <v>-98527.5</v>
      </c>
      <c r="I21" s="82"/>
      <c r="J21" s="82">
        <f>+J18+J20+J19</f>
        <v>-109475</v>
      </c>
      <c r="K21" s="82"/>
      <c r="L21" s="12"/>
      <c r="M21" s="35"/>
    </row>
    <row r="22" spans="3:13" x14ac:dyDescent="0.25">
      <c r="C22" s="86"/>
      <c r="D22" s="87"/>
      <c r="E22" s="87"/>
      <c r="F22" s="87"/>
      <c r="G22" s="87"/>
      <c r="H22" s="87"/>
      <c r="I22" s="87"/>
      <c r="J22" s="87"/>
      <c r="K22" s="87"/>
      <c r="L22" s="12"/>
      <c r="M22" s="35"/>
    </row>
    <row r="23" spans="3:13" x14ac:dyDescent="0.25">
      <c r="C23" s="34" t="s">
        <v>43</v>
      </c>
      <c r="D23" s="6" t="s">
        <v>27</v>
      </c>
      <c r="E23" s="5" t="s">
        <v>67</v>
      </c>
      <c r="F23" s="82">
        <f>F14+F21</f>
        <v>5879577.5</v>
      </c>
      <c r="G23" s="82"/>
      <c r="H23" s="82">
        <f>H14+H21</f>
        <v>3901472.5</v>
      </c>
      <c r="I23" s="82"/>
      <c r="J23" s="82">
        <f>J14+J21</f>
        <v>4890525</v>
      </c>
      <c r="K23" s="82"/>
      <c r="L23" s="12"/>
      <c r="M23" s="35"/>
    </row>
    <row r="24" spans="3:13" ht="45" x14ac:dyDescent="0.25">
      <c r="C24" s="34" t="s">
        <v>71</v>
      </c>
      <c r="D24" s="6" t="s">
        <v>28</v>
      </c>
      <c r="E24" s="5"/>
      <c r="F24" s="82">
        <f>F12</f>
        <v>5000000</v>
      </c>
      <c r="G24" s="82"/>
      <c r="H24" s="82">
        <f>H12</f>
        <v>5000000</v>
      </c>
      <c r="I24" s="82"/>
      <c r="J24" s="82">
        <f>J12</f>
        <v>5000000</v>
      </c>
      <c r="K24" s="82"/>
      <c r="L24" s="12"/>
      <c r="M24" s="35"/>
    </row>
    <row r="25" spans="3:13" x14ac:dyDescent="0.25">
      <c r="C25" s="37" t="s">
        <v>72</v>
      </c>
      <c r="D25" s="6" t="s">
        <v>45</v>
      </c>
      <c r="E25" s="13" t="s">
        <v>70</v>
      </c>
      <c r="F25" s="82">
        <f>(F24*$E$7)</f>
        <v>400000</v>
      </c>
      <c r="G25" s="82"/>
      <c r="H25" s="82">
        <f>(H24*$E$7)</f>
        <v>400000</v>
      </c>
      <c r="I25" s="82"/>
      <c r="J25" s="82">
        <f>(J24*$E$7)</f>
        <v>400000</v>
      </c>
      <c r="K25" s="82"/>
      <c r="L25" s="12"/>
      <c r="M25" s="35"/>
    </row>
    <row r="26" spans="3:13" ht="45" x14ac:dyDescent="0.25">
      <c r="C26" s="34" t="s">
        <v>73</v>
      </c>
      <c r="D26" s="6" t="s">
        <v>46</v>
      </c>
      <c r="E26" s="5" t="s">
        <v>74</v>
      </c>
      <c r="F26" s="82" t="str">
        <f>IF(F23&gt;(F24+F25),("Yes"),("No Pfee"))</f>
        <v>Yes</v>
      </c>
      <c r="G26" s="82"/>
      <c r="H26" s="82" t="str">
        <f>IF(H23&gt;(H24+H25),("Yes"),("No Pfee"))</f>
        <v>No Pfee</v>
      </c>
      <c r="I26" s="82"/>
      <c r="J26" s="82" t="str">
        <f>IF(J23&gt;(J24+J25),("Yes"),("No Pfee"))</f>
        <v>No Pfee</v>
      </c>
      <c r="K26" s="82"/>
      <c r="L26" s="12"/>
      <c r="M26" s="35"/>
    </row>
    <row r="27" spans="3:13" x14ac:dyDescent="0.25">
      <c r="C27" s="104" t="s">
        <v>44</v>
      </c>
      <c r="D27" s="105"/>
      <c r="E27" s="105"/>
      <c r="F27" s="105"/>
      <c r="G27" s="105"/>
      <c r="H27" s="105"/>
      <c r="I27" s="105"/>
      <c r="J27" s="105"/>
      <c r="K27" s="105"/>
      <c r="L27" s="12"/>
      <c r="M27" s="35"/>
    </row>
    <row r="28" spans="3:13" x14ac:dyDescent="0.25">
      <c r="C28" s="34" t="s">
        <v>53</v>
      </c>
      <c r="D28" s="6" t="s">
        <v>47</v>
      </c>
      <c r="E28" s="5" t="s">
        <v>75</v>
      </c>
      <c r="F28" s="82">
        <f>+IF(F26="Yes",(F23-F24-F25),(0))</f>
        <v>479577.5</v>
      </c>
      <c r="G28" s="82"/>
      <c r="H28" s="82">
        <f>+IF(H26="Yes",(H23-H24-H25),(0))</f>
        <v>0</v>
      </c>
      <c r="I28" s="82"/>
      <c r="J28" s="82">
        <f>+IF(J26="Yes",(J23-J24-J25),(0))</f>
        <v>0</v>
      </c>
      <c r="K28" s="82"/>
      <c r="L28" s="12"/>
      <c r="M28" s="35"/>
    </row>
    <row r="29" spans="3:13" x14ac:dyDescent="0.25">
      <c r="C29" s="37" t="s">
        <v>48</v>
      </c>
      <c r="D29" s="6" t="s">
        <v>49</v>
      </c>
      <c r="E29" s="13" t="s">
        <v>76</v>
      </c>
      <c r="F29" s="82">
        <f>+F28*-$E$6</f>
        <v>-86323.95</v>
      </c>
      <c r="G29" s="82"/>
      <c r="H29" s="82">
        <f>+H28*-$E$6</f>
        <v>0</v>
      </c>
      <c r="I29" s="82"/>
      <c r="J29" s="82">
        <f>+J28*-$E$6</f>
        <v>0</v>
      </c>
      <c r="K29" s="82"/>
      <c r="L29" s="12"/>
      <c r="M29" s="35"/>
    </row>
    <row r="30" spans="3:13" x14ac:dyDescent="0.25">
      <c r="C30" s="36"/>
      <c r="D30" s="6"/>
      <c r="E30" s="6"/>
      <c r="F30" s="6"/>
      <c r="G30" s="6"/>
      <c r="H30" s="6"/>
      <c r="I30" s="6"/>
      <c r="J30" s="6"/>
      <c r="K30" s="6"/>
      <c r="L30" s="12"/>
      <c r="M30" s="35"/>
    </row>
    <row r="31" spans="3:13" ht="30" x14ac:dyDescent="0.25">
      <c r="C31" s="34" t="s">
        <v>54</v>
      </c>
      <c r="D31" s="6" t="s">
        <v>50</v>
      </c>
      <c r="E31" s="5" t="s">
        <v>77</v>
      </c>
      <c r="F31" s="82">
        <f>+F23+F29</f>
        <v>5793253.5499999998</v>
      </c>
      <c r="G31" s="82"/>
      <c r="H31" s="82">
        <f>+H23+H29</f>
        <v>3901472.5</v>
      </c>
      <c r="I31" s="82"/>
      <c r="J31" s="82">
        <f>+J23+J29</f>
        <v>4890525</v>
      </c>
      <c r="K31" s="82"/>
      <c r="L31" s="12"/>
      <c r="M31" s="35"/>
    </row>
    <row r="32" spans="3:13" x14ac:dyDescent="0.25">
      <c r="C32" s="34" t="s">
        <v>10</v>
      </c>
      <c r="D32" s="6" t="s">
        <v>52</v>
      </c>
      <c r="E32" s="5" t="s">
        <v>78</v>
      </c>
      <c r="F32" s="91">
        <f>+F31/F12-1</f>
        <v>0.15865070999999986</v>
      </c>
      <c r="G32" s="91"/>
      <c r="H32" s="91">
        <f>+H31/H12-1</f>
        <v>-0.2197055</v>
      </c>
      <c r="I32" s="91"/>
      <c r="J32" s="91">
        <f>+J31/J12-1</f>
        <v>-2.1894999999999998E-2</v>
      </c>
      <c r="K32" s="91"/>
      <c r="L32" s="12"/>
      <c r="M32" s="35"/>
    </row>
    <row r="33" spans="2:13" x14ac:dyDescent="0.25">
      <c r="C33" s="36"/>
      <c r="D33" s="6"/>
      <c r="E33" s="6"/>
      <c r="F33" s="6"/>
      <c r="G33" s="6"/>
      <c r="H33" s="6"/>
      <c r="I33" s="6"/>
      <c r="J33" s="6"/>
      <c r="K33" s="6"/>
      <c r="L33" s="12"/>
      <c r="M33" s="35"/>
    </row>
    <row r="34" spans="2:13" ht="30" x14ac:dyDescent="0.25">
      <c r="C34" s="34" t="s">
        <v>110</v>
      </c>
      <c r="D34" s="6" t="s">
        <v>80</v>
      </c>
      <c r="E34" s="5" t="s">
        <v>87</v>
      </c>
      <c r="F34" s="82">
        <f>+MAX(F24,F31)</f>
        <v>5793253.5499999998</v>
      </c>
      <c r="G34" s="82"/>
      <c r="H34" s="82">
        <f>+MAX(H24,H31)</f>
        <v>5000000</v>
      </c>
      <c r="I34" s="82"/>
      <c r="J34" s="82">
        <f>+MAX(J24,J31)</f>
        <v>5000000</v>
      </c>
      <c r="K34" s="82"/>
      <c r="L34" s="12"/>
      <c r="M34" s="35"/>
    </row>
    <row r="35" spans="2:13" ht="45" x14ac:dyDescent="0.25">
      <c r="C35" s="34" t="s">
        <v>111</v>
      </c>
      <c r="D35" s="6" t="s">
        <v>80</v>
      </c>
      <c r="E35" s="5" t="s">
        <v>86</v>
      </c>
      <c r="F35" s="82">
        <f>+MAX(F23,F24)</f>
        <v>5879577.5</v>
      </c>
      <c r="G35" s="82"/>
      <c r="H35" s="82">
        <f>+MAX(H23,H24)</f>
        <v>5000000</v>
      </c>
      <c r="I35" s="82"/>
      <c r="J35" s="82">
        <f>+MAX(J23,J24)</f>
        <v>5000000</v>
      </c>
      <c r="K35" s="82"/>
      <c r="L35" s="12"/>
      <c r="M35" s="35"/>
    </row>
    <row r="36" spans="2:13" x14ac:dyDescent="0.25">
      <c r="C36" s="34"/>
      <c r="D36" s="6"/>
      <c r="E36" s="5"/>
      <c r="F36" s="12"/>
      <c r="G36" s="12"/>
      <c r="H36" s="12"/>
      <c r="I36" s="12"/>
      <c r="J36" s="12"/>
      <c r="K36" s="12"/>
      <c r="L36" s="12"/>
      <c r="M36" s="35"/>
    </row>
    <row r="37" spans="2:13" ht="15.75" thickBot="1" x14ac:dyDescent="0.3">
      <c r="B37" s="46"/>
      <c r="C37" s="60" t="s">
        <v>88</v>
      </c>
      <c r="D37" s="61"/>
      <c r="E37" s="62"/>
      <c r="F37" s="62"/>
      <c r="G37" s="62"/>
      <c r="H37" s="62"/>
      <c r="I37" s="62"/>
      <c r="J37" s="62"/>
      <c r="K37" s="62"/>
      <c r="L37" s="62"/>
      <c r="M37" s="63"/>
    </row>
    <row r="38" spans="2:13" ht="34.5" customHeight="1" thickBot="1" x14ac:dyDescent="0.3">
      <c r="B38" s="47">
        <v>1</v>
      </c>
      <c r="C38" s="93" t="s">
        <v>116</v>
      </c>
      <c r="D38" s="94"/>
      <c r="E38" s="94"/>
      <c r="F38" s="94"/>
      <c r="G38" s="94"/>
      <c r="H38" s="94"/>
      <c r="I38" s="94"/>
      <c r="J38" s="94"/>
      <c r="K38" s="94"/>
      <c r="L38" s="94"/>
      <c r="M38" s="95"/>
    </row>
    <row r="39" spans="2:13" ht="33.75" customHeight="1" thickBot="1" x14ac:dyDescent="0.3">
      <c r="B39" s="47">
        <f t="shared" ref="B39:B48" si="0">+B38+1</f>
        <v>2</v>
      </c>
      <c r="C39" s="93" t="s">
        <v>61</v>
      </c>
      <c r="D39" s="94"/>
      <c r="E39" s="94"/>
      <c r="F39" s="94"/>
      <c r="G39" s="94"/>
      <c r="H39" s="94"/>
      <c r="I39" s="94"/>
      <c r="J39" s="94"/>
      <c r="K39" s="94"/>
      <c r="L39" s="94"/>
      <c r="M39" s="95"/>
    </row>
    <row r="40" spans="2:13" ht="13.5" customHeight="1" thickBot="1" x14ac:dyDescent="0.3">
      <c r="B40" s="47">
        <f t="shared" si="0"/>
        <v>3</v>
      </c>
      <c r="C40" s="93" t="s">
        <v>60</v>
      </c>
      <c r="D40" s="94"/>
      <c r="E40" s="94"/>
      <c r="F40" s="94"/>
      <c r="G40" s="94"/>
      <c r="H40" s="94"/>
      <c r="I40" s="94"/>
      <c r="J40" s="94"/>
      <c r="K40" s="94"/>
      <c r="L40" s="94"/>
      <c r="M40" s="95"/>
    </row>
    <row r="41" spans="2:13" ht="35.25" customHeight="1" thickBot="1" x14ac:dyDescent="0.3">
      <c r="B41" s="47">
        <f t="shared" si="0"/>
        <v>4</v>
      </c>
      <c r="C41" s="93" t="s">
        <v>37</v>
      </c>
      <c r="D41" s="94"/>
      <c r="E41" s="94"/>
      <c r="F41" s="94"/>
      <c r="G41" s="94"/>
      <c r="H41" s="94"/>
      <c r="I41" s="94"/>
      <c r="J41" s="94"/>
      <c r="K41" s="94"/>
      <c r="L41" s="94"/>
      <c r="M41" s="95"/>
    </row>
    <row r="42" spans="2:13" ht="33" customHeight="1" thickBot="1" x14ac:dyDescent="0.3">
      <c r="B42" s="47">
        <f t="shared" si="0"/>
        <v>5</v>
      </c>
      <c r="C42" s="93" t="s">
        <v>62</v>
      </c>
      <c r="D42" s="94"/>
      <c r="E42" s="94"/>
      <c r="F42" s="94"/>
      <c r="G42" s="94"/>
      <c r="H42" s="94"/>
      <c r="I42" s="94"/>
      <c r="J42" s="94"/>
      <c r="K42" s="94"/>
      <c r="L42" s="94"/>
      <c r="M42" s="95"/>
    </row>
    <row r="43" spans="2:13" ht="15.75" thickBot="1" x14ac:dyDescent="0.3">
      <c r="B43" s="47">
        <f t="shared" si="0"/>
        <v>6</v>
      </c>
      <c r="C43" s="93" t="s">
        <v>51</v>
      </c>
      <c r="D43" s="94"/>
      <c r="E43" s="94"/>
      <c r="F43" s="94"/>
      <c r="G43" s="94"/>
      <c r="H43" s="94"/>
      <c r="I43" s="94"/>
      <c r="J43" s="94"/>
      <c r="K43" s="94"/>
      <c r="L43" s="94"/>
      <c r="M43" s="95"/>
    </row>
    <row r="44" spans="2:13" ht="45.75" customHeight="1" thickBot="1" x14ac:dyDescent="0.3">
      <c r="B44" s="47">
        <f t="shared" si="0"/>
        <v>7</v>
      </c>
      <c r="C44" s="93" t="s">
        <v>102</v>
      </c>
      <c r="D44" s="94"/>
      <c r="E44" s="94"/>
      <c r="F44" s="94"/>
      <c r="G44" s="94"/>
      <c r="H44" s="94"/>
      <c r="I44" s="94"/>
      <c r="J44" s="94"/>
      <c r="K44" s="94"/>
      <c r="L44" s="94"/>
      <c r="M44" s="95"/>
    </row>
    <row r="45" spans="2:13" ht="48" customHeight="1" thickBot="1" x14ac:dyDescent="0.3">
      <c r="B45" s="47">
        <f t="shared" si="0"/>
        <v>8</v>
      </c>
      <c r="C45" s="93" t="s">
        <v>101</v>
      </c>
      <c r="D45" s="94"/>
      <c r="E45" s="94"/>
      <c r="F45" s="94"/>
      <c r="G45" s="94"/>
      <c r="H45" s="94"/>
      <c r="I45" s="94"/>
      <c r="J45" s="94"/>
      <c r="K45" s="94"/>
      <c r="L45" s="94"/>
      <c r="M45" s="95"/>
    </row>
    <row r="46" spans="2:13" ht="15" customHeight="1" thickBot="1" x14ac:dyDescent="0.3">
      <c r="B46" s="47">
        <f t="shared" si="0"/>
        <v>9</v>
      </c>
      <c r="C46" s="106" t="s">
        <v>82</v>
      </c>
      <c r="D46" s="107"/>
      <c r="E46" s="107"/>
      <c r="F46" s="107"/>
      <c r="G46" s="107"/>
      <c r="H46" s="107"/>
      <c r="I46" s="107"/>
      <c r="J46" s="107"/>
      <c r="K46" s="107"/>
      <c r="L46" s="107"/>
      <c r="M46" s="108"/>
    </row>
    <row r="47" spans="2:13" ht="15" customHeight="1" thickBot="1" x14ac:dyDescent="0.3">
      <c r="B47" s="47">
        <f t="shared" si="0"/>
        <v>10</v>
      </c>
      <c r="C47" s="106" t="s">
        <v>85</v>
      </c>
      <c r="D47" s="107"/>
      <c r="E47" s="107"/>
      <c r="F47" s="107"/>
      <c r="G47" s="107"/>
      <c r="H47" s="107"/>
      <c r="I47" s="107"/>
      <c r="J47" s="107"/>
      <c r="K47" s="107"/>
      <c r="L47" s="107"/>
      <c r="M47" s="108"/>
    </row>
    <row r="48" spans="2:13" ht="15" customHeight="1" thickBot="1" x14ac:dyDescent="0.3">
      <c r="B48" s="47">
        <f t="shared" si="0"/>
        <v>11</v>
      </c>
      <c r="C48" s="106" t="s">
        <v>64</v>
      </c>
      <c r="D48" s="107"/>
      <c r="E48" s="107"/>
      <c r="F48" s="107"/>
      <c r="G48" s="107"/>
      <c r="H48" s="107"/>
      <c r="I48" s="107"/>
      <c r="J48" s="107"/>
      <c r="K48" s="107"/>
      <c r="L48" s="107"/>
      <c r="M48" s="108"/>
    </row>
    <row r="49" spans="2:13" ht="15" customHeight="1" thickBot="1" x14ac:dyDescent="0.3">
      <c r="B49" s="47">
        <v>12</v>
      </c>
      <c r="C49" s="106" t="s">
        <v>103</v>
      </c>
      <c r="D49" s="107"/>
      <c r="E49" s="107"/>
      <c r="F49" s="107"/>
      <c r="G49" s="107"/>
      <c r="H49" s="107"/>
      <c r="I49" s="107"/>
      <c r="J49" s="107"/>
      <c r="K49" s="107"/>
      <c r="L49" s="107"/>
      <c r="M49" s="108"/>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85"/>
  <sheetViews>
    <sheetView showGridLines="0" zoomScale="85" zoomScaleNormal="85" workbookViewId="0">
      <selection activeCell="B37" sqref="B37"/>
    </sheetView>
  </sheetViews>
  <sheetFormatPr defaultColWidth="14.42578125" defaultRowHeight="15" customHeight="1" x14ac:dyDescent="0.25"/>
  <cols>
    <col min="2" max="2" width="4.140625" customWidth="1"/>
    <col min="3" max="3" width="53.85546875" bestFit="1" customWidth="1"/>
    <col min="4" max="4" width="8" customWidth="1"/>
    <col min="5" max="5" width="19.14062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2:26" ht="24" thickBot="1" x14ac:dyDescent="0.4">
      <c r="C1" s="135" t="s">
        <v>117</v>
      </c>
    </row>
    <row r="2" spans="2:26" ht="30" x14ac:dyDescent="0.25">
      <c r="B2" s="51"/>
      <c r="C2" s="52"/>
      <c r="D2" s="52"/>
      <c r="E2" s="53" t="s">
        <v>95</v>
      </c>
      <c r="F2" s="54"/>
      <c r="G2" s="54"/>
      <c r="H2" s="54"/>
      <c r="I2" s="54"/>
      <c r="J2" s="54"/>
      <c r="K2" s="54"/>
      <c r="L2" s="54"/>
      <c r="M2" s="54"/>
      <c r="N2" s="54"/>
      <c r="O2" s="55"/>
    </row>
    <row r="3" spans="2:26" x14ac:dyDescent="0.25">
      <c r="B3" s="56"/>
      <c r="C3" s="21" t="s">
        <v>0</v>
      </c>
      <c r="D3" s="71"/>
      <c r="E3" s="21"/>
      <c r="F3" s="14"/>
      <c r="G3" s="14"/>
      <c r="H3" s="14"/>
      <c r="I3" s="14"/>
      <c r="J3" s="14"/>
      <c r="K3" s="14"/>
      <c r="L3" s="14"/>
      <c r="M3" s="14"/>
      <c r="N3" s="14"/>
      <c r="O3" s="57"/>
    </row>
    <row r="4" spans="2:26" x14ac:dyDescent="0.25">
      <c r="B4" s="56"/>
      <c r="C4" s="18" t="s">
        <v>2</v>
      </c>
      <c r="D4" s="70" t="s">
        <v>15</v>
      </c>
      <c r="E4" s="26">
        <v>5000000</v>
      </c>
      <c r="F4" s="14"/>
      <c r="G4" s="14"/>
      <c r="H4" s="14"/>
      <c r="I4" s="14"/>
      <c r="J4" s="14"/>
      <c r="K4" s="14"/>
      <c r="L4" s="14"/>
      <c r="M4" s="14"/>
      <c r="N4" s="14"/>
      <c r="O4" s="57"/>
    </row>
    <row r="5" spans="2:26" x14ac:dyDescent="0.25">
      <c r="B5" s="56"/>
      <c r="C5" s="18" t="s">
        <v>118</v>
      </c>
      <c r="D5" s="70" t="s">
        <v>16</v>
      </c>
      <c r="E5" s="27">
        <v>1.2500000000000001E-2</v>
      </c>
      <c r="F5" s="14"/>
      <c r="G5" s="14"/>
      <c r="H5" s="14"/>
      <c r="I5" s="14"/>
      <c r="J5" s="14"/>
      <c r="K5" s="14"/>
      <c r="L5" s="14"/>
      <c r="M5" s="14"/>
      <c r="N5" s="14"/>
      <c r="O5" s="57"/>
    </row>
    <row r="6" spans="2:26" x14ac:dyDescent="0.25">
      <c r="B6" s="56"/>
      <c r="C6" s="18" t="s">
        <v>6</v>
      </c>
      <c r="D6" s="70" t="s">
        <v>17</v>
      </c>
      <c r="E6" s="27">
        <v>5.0000000000000001E-3</v>
      </c>
      <c r="F6" s="14"/>
      <c r="G6" s="14"/>
      <c r="H6" s="14"/>
      <c r="I6" s="14"/>
      <c r="J6" s="14"/>
      <c r="K6" s="14"/>
      <c r="L6" s="14"/>
      <c r="M6" s="14"/>
      <c r="N6" s="14"/>
      <c r="O6" s="57"/>
    </row>
    <row r="7" spans="2:26" x14ac:dyDescent="0.25">
      <c r="B7" s="56"/>
      <c r="C7" s="18" t="s">
        <v>39</v>
      </c>
      <c r="D7" s="70" t="s">
        <v>41</v>
      </c>
      <c r="E7" s="27">
        <v>0.2</v>
      </c>
      <c r="F7" s="14"/>
      <c r="G7" s="14"/>
      <c r="H7" s="14"/>
      <c r="I7" s="14"/>
      <c r="J7" s="14"/>
      <c r="K7" s="14"/>
      <c r="L7" s="14"/>
      <c r="M7" s="14"/>
      <c r="N7" s="14"/>
      <c r="O7" s="57"/>
    </row>
    <row r="8" spans="2:26" x14ac:dyDescent="0.25">
      <c r="B8" s="56"/>
      <c r="C8" s="18" t="s">
        <v>40</v>
      </c>
      <c r="D8" s="70" t="s">
        <v>42</v>
      </c>
      <c r="E8" s="27">
        <v>0.1</v>
      </c>
      <c r="F8" s="14"/>
      <c r="G8" s="14"/>
      <c r="H8" s="14"/>
      <c r="I8" s="14"/>
      <c r="J8" s="14"/>
      <c r="K8" s="14"/>
      <c r="L8" s="14"/>
      <c r="M8" s="14"/>
      <c r="N8" s="14"/>
      <c r="O8" s="57"/>
    </row>
    <row r="9" spans="2:26" x14ac:dyDescent="0.25">
      <c r="B9" s="56"/>
      <c r="C9" s="18" t="s">
        <v>56</v>
      </c>
      <c r="D9" s="70" t="s">
        <v>65</v>
      </c>
      <c r="E9" s="27">
        <v>2E-3</v>
      </c>
      <c r="F9" s="14"/>
      <c r="G9" s="14"/>
      <c r="H9" s="14"/>
      <c r="I9" s="14"/>
      <c r="J9" s="14"/>
      <c r="K9" s="14"/>
      <c r="L9" s="14"/>
      <c r="M9" s="14"/>
      <c r="N9" s="14"/>
      <c r="O9" s="58"/>
      <c r="P9" s="14"/>
    </row>
    <row r="10" spans="2:26" ht="15.75" thickBot="1" x14ac:dyDescent="0.3">
      <c r="B10" s="56"/>
      <c r="C10" s="15"/>
      <c r="D10" s="16"/>
      <c r="E10" s="15"/>
      <c r="F10" s="17"/>
      <c r="G10" s="14"/>
      <c r="H10" s="14"/>
      <c r="I10" s="14"/>
      <c r="J10" s="14"/>
      <c r="K10" s="14"/>
      <c r="L10" s="14"/>
      <c r="M10" s="14"/>
      <c r="N10" s="14"/>
      <c r="O10" s="58"/>
      <c r="P10" s="14"/>
      <c r="Q10" s="14"/>
      <c r="R10" s="14"/>
      <c r="S10" s="14"/>
      <c r="T10" s="14"/>
      <c r="U10" s="14"/>
      <c r="V10" s="14"/>
      <c r="W10" s="14"/>
      <c r="X10" s="14"/>
      <c r="Y10" s="14"/>
      <c r="Z10" s="14"/>
    </row>
    <row r="11" spans="2:26" ht="15.75" thickBot="1" x14ac:dyDescent="0.3">
      <c r="B11" s="56"/>
      <c r="C11" s="115" t="s">
        <v>107</v>
      </c>
      <c r="D11" s="116"/>
      <c r="E11" s="117"/>
      <c r="F11" s="118" t="s">
        <v>94</v>
      </c>
      <c r="G11" s="119"/>
      <c r="H11" s="118" t="s">
        <v>93</v>
      </c>
      <c r="I11" s="119"/>
      <c r="J11" s="118" t="s">
        <v>92</v>
      </c>
      <c r="K11" s="119"/>
      <c r="L11" s="118" t="s">
        <v>91</v>
      </c>
      <c r="M11" s="119"/>
      <c r="N11" s="118" t="s">
        <v>90</v>
      </c>
      <c r="O11" s="119"/>
      <c r="P11" s="14"/>
      <c r="Q11" s="14"/>
      <c r="R11" s="14"/>
      <c r="S11" s="14"/>
      <c r="T11" s="14"/>
      <c r="U11" s="14"/>
      <c r="V11" s="14"/>
      <c r="W11" s="14"/>
      <c r="X11" s="14"/>
      <c r="Y11" s="14"/>
      <c r="Z11" s="14"/>
    </row>
    <row r="12" spans="2:26" ht="15.75" thickBot="1" x14ac:dyDescent="0.3">
      <c r="B12" s="56"/>
      <c r="C12" s="116"/>
      <c r="D12" s="116"/>
      <c r="E12" s="117"/>
      <c r="F12" s="72" t="s">
        <v>89</v>
      </c>
      <c r="G12" s="73">
        <v>-0.26</v>
      </c>
      <c r="H12" s="74" t="s">
        <v>89</v>
      </c>
      <c r="I12" s="75">
        <v>0.79</v>
      </c>
      <c r="J12" s="74" t="s">
        <v>89</v>
      </c>
      <c r="K12" s="75">
        <v>0.22</v>
      </c>
      <c r="L12" s="74" t="s">
        <v>89</v>
      </c>
      <c r="M12" s="75">
        <v>0</v>
      </c>
      <c r="N12" s="74" t="s">
        <v>89</v>
      </c>
      <c r="O12" s="76">
        <v>0.4</v>
      </c>
      <c r="P12" s="14"/>
      <c r="Q12" s="14"/>
      <c r="R12" s="14"/>
      <c r="S12" s="14"/>
      <c r="T12" s="14"/>
      <c r="U12" s="14"/>
      <c r="V12" s="14"/>
      <c r="W12" s="14"/>
      <c r="X12" s="14"/>
      <c r="Y12" s="14"/>
      <c r="Z12" s="14"/>
    </row>
    <row r="13" spans="2:26" x14ac:dyDescent="0.25">
      <c r="B13" s="56"/>
      <c r="C13" s="18" t="s">
        <v>106</v>
      </c>
      <c r="D13" s="70" t="s">
        <v>19</v>
      </c>
      <c r="E13" s="11" t="s">
        <v>29</v>
      </c>
      <c r="F13" s="120">
        <v>5000000</v>
      </c>
      <c r="G13" s="121"/>
      <c r="H13" s="120">
        <f>F33</f>
        <v>3615555.625</v>
      </c>
      <c r="I13" s="121"/>
      <c r="J13" s="120">
        <f>H33</f>
        <v>6199146.9924955312</v>
      </c>
      <c r="K13" s="121"/>
      <c r="L13" s="120">
        <f>J33</f>
        <v>7345770.1320111733</v>
      </c>
      <c r="M13" s="121"/>
      <c r="N13" s="120">
        <f>L33</f>
        <v>7202986.4750702064</v>
      </c>
      <c r="O13" s="121"/>
      <c r="P13" s="14"/>
      <c r="Q13" s="14"/>
      <c r="R13" s="14"/>
      <c r="S13" s="14"/>
      <c r="T13" s="14"/>
      <c r="U13" s="14"/>
      <c r="V13" s="14"/>
      <c r="W13" s="14"/>
      <c r="X13" s="14"/>
      <c r="Y13" s="14"/>
      <c r="Z13" s="14"/>
    </row>
    <row r="14" spans="2:26" x14ac:dyDescent="0.25">
      <c r="B14" s="56"/>
      <c r="C14" s="18" t="s">
        <v>33</v>
      </c>
      <c r="D14" s="70" t="s">
        <v>20</v>
      </c>
      <c r="E14" s="11" t="s">
        <v>119</v>
      </c>
      <c r="F14" s="122">
        <f>F13*G12</f>
        <v>-1300000</v>
      </c>
      <c r="G14" s="116"/>
      <c r="H14" s="122">
        <f>H13*I12</f>
        <v>2856288.9437500001</v>
      </c>
      <c r="I14" s="116"/>
      <c r="J14" s="122">
        <f>J13*K12</f>
        <v>1363812.3383490168</v>
      </c>
      <c r="K14" s="116"/>
      <c r="L14" s="122">
        <f>L13*M12</f>
        <v>0</v>
      </c>
      <c r="M14" s="116"/>
      <c r="N14" s="122">
        <f>N13*O12</f>
        <v>2881194.590028083</v>
      </c>
      <c r="O14" s="116"/>
      <c r="P14" s="14"/>
      <c r="Q14" s="14"/>
      <c r="R14" s="14"/>
      <c r="S14" s="14"/>
      <c r="T14" s="14"/>
      <c r="U14" s="14"/>
      <c r="V14" s="14"/>
      <c r="W14" s="14"/>
      <c r="X14" s="14"/>
      <c r="Y14" s="14"/>
      <c r="Z14" s="14"/>
    </row>
    <row r="15" spans="2:26" x14ac:dyDescent="0.25">
      <c r="B15" s="56"/>
      <c r="C15" s="18" t="s">
        <v>7</v>
      </c>
      <c r="D15" s="70" t="s">
        <v>21</v>
      </c>
      <c r="E15" s="11" t="s">
        <v>120</v>
      </c>
      <c r="F15" s="122">
        <f>F13+F14</f>
        <v>3700000</v>
      </c>
      <c r="G15" s="116"/>
      <c r="H15" s="122">
        <f>H13+H14</f>
        <v>6471844.5687499996</v>
      </c>
      <c r="I15" s="116"/>
      <c r="J15" s="122">
        <f>J13+J14</f>
        <v>7562959.3308445476</v>
      </c>
      <c r="K15" s="116"/>
      <c r="L15" s="122">
        <f>L13+L14</f>
        <v>7345770.1320111733</v>
      </c>
      <c r="M15" s="116"/>
      <c r="N15" s="122">
        <f>N13+N14</f>
        <v>10084181.065098289</v>
      </c>
      <c r="O15" s="116"/>
      <c r="P15" s="14"/>
      <c r="Q15" s="14"/>
      <c r="R15" s="14"/>
      <c r="S15" s="14"/>
      <c r="T15" s="14"/>
      <c r="U15" s="14"/>
      <c r="V15" s="14"/>
      <c r="W15" s="14"/>
      <c r="X15" s="14"/>
      <c r="Y15" s="14"/>
      <c r="Z15" s="14"/>
    </row>
    <row r="16" spans="2:26" x14ac:dyDescent="0.25">
      <c r="B16" s="56"/>
      <c r="C16" s="124"/>
      <c r="D16" s="116"/>
      <c r="E16" s="116"/>
      <c r="F16" s="116"/>
      <c r="G16" s="116"/>
      <c r="H16" s="116"/>
      <c r="I16" s="116"/>
      <c r="J16" s="116"/>
      <c r="K16" s="116"/>
      <c r="L16" s="116"/>
      <c r="M16" s="116"/>
      <c r="N16" s="116"/>
      <c r="O16" s="123"/>
      <c r="P16" s="14"/>
      <c r="Q16" s="14"/>
      <c r="R16" s="14"/>
      <c r="S16" s="14"/>
      <c r="T16" s="14"/>
      <c r="U16" s="14"/>
      <c r="V16" s="14"/>
      <c r="W16" s="14"/>
      <c r="X16" s="14"/>
      <c r="Y16" s="14"/>
      <c r="Z16" s="14"/>
    </row>
    <row r="17" spans="2:26" x14ac:dyDescent="0.25">
      <c r="B17" s="56"/>
      <c r="C17" s="18" t="s">
        <v>18</v>
      </c>
      <c r="D17" s="70" t="s">
        <v>22</v>
      </c>
      <c r="E17" s="11" t="s">
        <v>32</v>
      </c>
      <c r="F17" s="122">
        <f>((F15+F13)/2)</f>
        <v>4350000</v>
      </c>
      <c r="G17" s="136"/>
      <c r="H17" s="122">
        <f>((H15+H13)/2)</f>
        <v>5043700.0968749998</v>
      </c>
      <c r="I17" s="136"/>
      <c r="J17" s="122">
        <f>((J15+J13)/2)</f>
        <v>6881053.1616700394</v>
      </c>
      <c r="K17" s="136"/>
      <c r="L17" s="122">
        <f>((L15+L13)/2)</f>
        <v>7345770.1320111733</v>
      </c>
      <c r="M17" s="136"/>
      <c r="N17" s="122">
        <f>((N15+N13)/2)</f>
        <v>8643583.770084247</v>
      </c>
      <c r="O17" s="136"/>
      <c r="P17" s="14"/>
      <c r="Q17" s="14"/>
      <c r="R17" s="14"/>
      <c r="S17" s="14"/>
      <c r="T17" s="14"/>
      <c r="U17" s="14"/>
      <c r="V17" s="14"/>
      <c r="W17" s="14"/>
      <c r="X17" s="14"/>
      <c r="Y17" s="14"/>
      <c r="Z17" s="14"/>
    </row>
    <row r="18" spans="2:26" x14ac:dyDescent="0.25">
      <c r="B18" s="56"/>
      <c r="C18" s="124"/>
      <c r="D18" s="116"/>
      <c r="E18" s="116"/>
      <c r="F18" s="116"/>
      <c r="G18" s="116"/>
      <c r="H18" s="116"/>
      <c r="I18" s="116"/>
      <c r="J18" s="116"/>
      <c r="K18" s="116"/>
      <c r="L18" s="125"/>
      <c r="M18" s="126"/>
      <c r="N18" s="125"/>
      <c r="O18" s="127"/>
      <c r="P18" s="14"/>
      <c r="Q18" s="14"/>
      <c r="R18" s="14"/>
      <c r="S18" s="14"/>
      <c r="T18" s="14"/>
      <c r="U18" s="14"/>
      <c r="V18" s="14"/>
      <c r="W18" s="14"/>
      <c r="X18" s="14"/>
      <c r="Y18" s="14"/>
      <c r="Z18" s="14"/>
    </row>
    <row r="19" spans="2:26" x14ac:dyDescent="0.25">
      <c r="B19" s="56"/>
      <c r="C19" s="18" t="s">
        <v>121</v>
      </c>
      <c r="D19" s="70" t="s">
        <v>23</v>
      </c>
      <c r="E19" s="11" t="s">
        <v>55</v>
      </c>
      <c r="F19" s="122">
        <f>F17*-$E$6</f>
        <v>-21750</v>
      </c>
      <c r="G19" s="116"/>
      <c r="H19" s="122">
        <f>H17*-$E$6</f>
        <v>-25218.500484374999</v>
      </c>
      <c r="I19" s="116"/>
      <c r="J19" s="122">
        <f>J17*-$E$6</f>
        <v>-34405.265808350196</v>
      </c>
      <c r="K19" s="116"/>
      <c r="L19" s="122">
        <f>L17*-$E$6</f>
        <v>-36728.850660055869</v>
      </c>
      <c r="M19" s="116"/>
      <c r="N19" s="122">
        <f>N17*-$E$6</f>
        <v>-43217.918850421236</v>
      </c>
      <c r="O19" s="116"/>
      <c r="P19" s="14"/>
      <c r="Q19" s="14"/>
      <c r="R19" s="14"/>
      <c r="S19" s="14"/>
      <c r="T19" s="14"/>
      <c r="U19" s="14"/>
      <c r="V19" s="14"/>
      <c r="W19" s="14"/>
      <c r="X19" s="14"/>
      <c r="Y19" s="14"/>
      <c r="Z19" s="14"/>
    </row>
    <row r="20" spans="2:26" x14ac:dyDescent="0.25">
      <c r="B20" s="56"/>
      <c r="C20" s="18" t="s">
        <v>56</v>
      </c>
      <c r="D20" s="70" t="s">
        <v>24</v>
      </c>
      <c r="E20" s="11" t="s">
        <v>66</v>
      </c>
      <c r="F20" s="122">
        <f>F17*-$E$9</f>
        <v>-8700</v>
      </c>
      <c r="G20" s="116"/>
      <c r="H20" s="122">
        <f>H17*-$E$9</f>
        <v>-10087.40019375</v>
      </c>
      <c r="I20" s="116"/>
      <c r="J20" s="122">
        <f>J17*-$E$9</f>
        <v>-13762.106323340078</v>
      </c>
      <c r="K20" s="116"/>
      <c r="L20" s="122">
        <f>L17*-$E$9</f>
        <v>-14691.540264022347</v>
      </c>
      <c r="M20" s="116"/>
      <c r="N20" s="122">
        <f>N17*-$E$9</f>
        <v>-17287.167540168495</v>
      </c>
      <c r="O20" s="116"/>
      <c r="P20" s="14"/>
      <c r="Q20" s="14"/>
      <c r="R20" s="14"/>
      <c r="S20" s="14"/>
      <c r="T20" s="14"/>
      <c r="U20" s="14"/>
      <c r="V20" s="14"/>
      <c r="W20" s="14"/>
      <c r="X20" s="14"/>
      <c r="Y20" s="14"/>
      <c r="Z20" s="14"/>
    </row>
    <row r="21" spans="2:26" x14ac:dyDescent="0.25">
      <c r="B21" s="56"/>
      <c r="C21" s="18" t="s">
        <v>122</v>
      </c>
      <c r="D21" s="70" t="s">
        <v>25</v>
      </c>
      <c r="E21" s="5" t="s">
        <v>58</v>
      </c>
      <c r="F21" s="122">
        <f>(F17+F19+F20)*-$E$5</f>
        <v>-53994.375</v>
      </c>
      <c r="G21" s="116"/>
      <c r="H21" s="122">
        <f>(H17+H19+H20)*-$E$5</f>
        <v>-62604.927452460935</v>
      </c>
      <c r="I21" s="116"/>
      <c r="J21" s="122">
        <f>(J17+J19+J20)*-$E$5</f>
        <v>-85411.072369229369</v>
      </c>
      <c r="K21" s="116"/>
      <c r="L21" s="122">
        <f>(L17+L19+20)*-$E$5</f>
        <v>-91363.266016888971</v>
      </c>
      <c r="M21" s="116"/>
      <c r="N21" s="122">
        <f>(N17+N19+N20)*-$E$5</f>
        <v>-107288.48354617071</v>
      </c>
      <c r="O21" s="116"/>
      <c r="P21" s="19"/>
      <c r="Q21" s="14"/>
      <c r="R21" s="14"/>
      <c r="S21" s="14"/>
      <c r="T21" s="14"/>
      <c r="U21" s="14"/>
      <c r="V21" s="14"/>
      <c r="W21" s="14"/>
      <c r="X21" s="14"/>
      <c r="Y21" s="14"/>
      <c r="Z21" s="14"/>
    </row>
    <row r="22" spans="2:26" ht="15.75" customHeight="1" x14ac:dyDescent="0.25">
      <c r="B22" s="56"/>
      <c r="C22" s="18" t="s">
        <v>108</v>
      </c>
      <c r="D22" s="70" t="s">
        <v>26</v>
      </c>
      <c r="E22" s="5" t="s">
        <v>59</v>
      </c>
      <c r="F22" s="122">
        <f>F19+F20+F21</f>
        <v>-84444.375</v>
      </c>
      <c r="G22" s="116"/>
      <c r="H22" s="122">
        <f>H19+H20+H21</f>
        <v>-97910.828130585927</v>
      </c>
      <c r="I22" s="116"/>
      <c r="J22" s="122">
        <f>J19+J20+J21</f>
        <v>-133578.44450091964</v>
      </c>
      <c r="K22" s="116"/>
      <c r="L22" s="122">
        <f>L19+L20+L21</f>
        <v>-142783.65694096719</v>
      </c>
      <c r="M22" s="116"/>
      <c r="N22" s="122">
        <f>N19+N20+N21</f>
        <v>-167793.56993676044</v>
      </c>
      <c r="O22" s="116"/>
      <c r="P22" s="14"/>
      <c r="Q22" s="14"/>
      <c r="R22" s="14"/>
      <c r="S22" s="14"/>
      <c r="T22" s="14"/>
      <c r="U22" s="14"/>
      <c r="V22" s="14"/>
      <c r="W22" s="14"/>
      <c r="X22" s="14"/>
      <c r="Y22" s="14"/>
      <c r="Z22" s="14"/>
    </row>
    <row r="23" spans="2:26" ht="15.75" customHeight="1" x14ac:dyDescent="0.25">
      <c r="B23" s="56"/>
      <c r="C23" s="124"/>
      <c r="D23" s="116"/>
      <c r="E23" s="116"/>
      <c r="F23" s="116"/>
      <c r="G23" s="116"/>
      <c r="H23" s="116"/>
      <c r="I23" s="116"/>
      <c r="J23" s="116"/>
      <c r="K23" s="116"/>
      <c r="L23" s="116"/>
      <c r="M23" s="116"/>
      <c r="N23" s="116"/>
      <c r="O23" s="123"/>
      <c r="P23" s="14"/>
      <c r="Q23" s="14"/>
      <c r="R23" s="14"/>
      <c r="S23" s="14"/>
      <c r="T23" s="14"/>
      <c r="U23" s="14"/>
      <c r="V23" s="14"/>
      <c r="W23" s="14"/>
      <c r="X23" s="14"/>
      <c r="Y23" s="14"/>
      <c r="Z23" s="14"/>
    </row>
    <row r="24" spans="2:26" ht="27.75" customHeight="1" x14ac:dyDescent="0.25">
      <c r="B24" s="56"/>
      <c r="C24" s="18" t="s">
        <v>109</v>
      </c>
      <c r="D24" s="70" t="s">
        <v>27</v>
      </c>
      <c r="E24" s="5" t="s">
        <v>67</v>
      </c>
      <c r="F24" s="122">
        <f>F15+F22</f>
        <v>3615555.625</v>
      </c>
      <c r="G24" s="116"/>
      <c r="H24" s="122">
        <f>H15+H22</f>
        <v>6373933.7406194136</v>
      </c>
      <c r="I24" s="116"/>
      <c r="J24" s="122">
        <f>J15+J22</f>
        <v>7429380.8863436282</v>
      </c>
      <c r="K24" s="116"/>
      <c r="L24" s="122">
        <f>L15+L22</f>
        <v>7202986.4750702064</v>
      </c>
      <c r="M24" s="116"/>
      <c r="N24" s="122">
        <f>N15+N22</f>
        <v>9916387.4951615296</v>
      </c>
      <c r="O24" s="116"/>
      <c r="P24" s="14"/>
      <c r="Q24" s="25"/>
      <c r="R24" s="24"/>
      <c r="S24" s="24"/>
      <c r="T24" s="24"/>
      <c r="U24" s="23"/>
      <c r="V24" s="14"/>
      <c r="W24" s="14"/>
      <c r="X24" s="14"/>
      <c r="Y24" s="14"/>
      <c r="Z24" s="14"/>
    </row>
    <row r="25" spans="2:26" ht="15.75" customHeight="1" x14ac:dyDescent="0.25">
      <c r="B25" s="56"/>
      <c r="C25" s="18" t="s">
        <v>100</v>
      </c>
      <c r="D25" s="70" t="s">
        <v>28</v>
      </c>
      <c r="E25" s="18"/>
      <c r="F25" s="122">
        <f>F13</f>
        <v>5000000</v>
      </c>
      <c r="G25" s="116"/>
      <c r="H25" s="122">
        <f>F36</f>
        <v>5000000</v>
      </c>
      <c r="I25" s="116"/>
      <c r="J25" s="122">
        <f>H36</f>
        <v>6373933.7406194136</v>
      </c>
      <c r="K25" s="116"/>
      <c r="L25" s="122">
        <f>J36</f>
        <v>7429380.8863436282</v>
      </c>
      <c r="M25" s="116"/>
      <c r="N25" s="122">
        <f>L36</f>
        <v>7429380.8863436282</v>
      </c>
      <c r="O25" s="116"/>
      <c r="P25" s="14"/>
      <c r="Q25" s="14"/>
      <c r="R25" s="14"/>
      <c r="S25" s="14"/>
      <c r="T25" s="14"/>
      <c r="U25" s="23"/>
      <c r="V25" s="14"/>
      <c r="W25" s="14"/>
      <c r="X25" s="14"/>
      <c r="Y25" s="14"/>
      <c r="Z25" s="14"/>
    </row>
    <row r="26" spans="2:26" ht="15.75" customHeight="1" x14ac:dyDescent="0.25">
      <c r="B26" s="56"/>
      <c r="C26" s="20" t="s">
        <v>104</v>
      </c>
      <c r="D26" s="70" t="s">
        <v>45</v>
      </c>
      <c r="E26" s="69" t="s">
        <v>70</v>
      </c>
      <c r="F26" s="122">
        <f>F13*$E$8</f>
        <v>500000</v>
      </c>
      <c r="G26" s="116"/>
      <c r="H26" s="122">
        <f>H25*$E$8</f>
        <v>500000</v>
      </c>
      <c r="I26" s="116"/>
      <c r="J26" s="122">
        <f>J25*$E$8</f>
        <v>637393.3740619414</v>
      </c>
      <c r="K26" s="116"/>
      <c r="L26" s="122">
        <f>L25*$E$8</f>
        <v>742938.08863436291</v>
      </c>
      <c r="M26" s="116"/>
      <c r="N26" s="122">
        <f>N25*$E$8</f>
        <v>742938.08863436291</v>
      </c>
      <c r="O26" s="116"/>
      <c r="P26" s="14"/>
      <c r="Q26" s="22"/>
      <c r="R26" s="14"/>
      <c r="S26" s="14"/>
      <c r="T26" s="14"/>
      <c r="U26" s="14"/>
      <c r="V26" s="14"/>
      <c r="W26" s="14"/>
      <c r="X26" s="14"/>
      <c r="Y26" s="14"/>
      <c r="Z26" s="14"/>
    </row>
    <row r="27" spans="2:26" ht="15.75" customHeight="1" x14ac:dyDescent="0.25">
      <c r="B27" s="56"/>
      <c r="C27" s="20"/>
      <c r="D27" s="70"/>
      <c r="E27" s="20"/>
      <c r="F27" s="122"/>
      <c r="G27" s="116"/>
      <c r="J27" s="125"/>
      <c r="K27" s="126"/>
      <c r="L27" s="125"/>
      <c r="M27" s="126"/>
      <c r="N27" s="125"/>
      <c r="O27" s="127"/>
      <c r="P27" s="14"/>
      <c r="Q27" s="14"/>
      <c r="R27" s="14"/>
      <c r="S27" s="14"/>
      <c r="T27" s="14"/>
      <c r="U27" s="14"/>
      <c r="V27" s="14"/>
      <c r="W27" s="14"/>
      <c r="X27" s="14"/>
      <c r="Y27" s="14"/>
      <c r="Z27" s="14"/>
    </row>
    <row r="28" spans="2:26" ht="15.75" customHeight="1" x14ac:dyDescent="0.25">
      <c r="B28" s="56"/>
      <c r="C28" s="18" t="s">
        <v>105</v>
      </c>
      <c r="D28" s="70" t="s">
        <v>46</v>
      </c>
      <c r="E28" s="5" t="s">
        <v>123</v>
      </c>
      <c r="F28" s="122">
        <f>F24-F25-F26</f>
        <v>-1884444.375</v>
      </c>
      <c r="G28" s="116"/>
      <c r="H28" s="122">
        <f>H24-H25-H26</f>
        <v>873933.74061941355</v>
      </c>
      <c r="I28" s="116"/>
      <c r="J28" s="122">
        <f>J24-J25-J26</f>
        <v>418053.77166227321</v>
      </c>
      <c r="K28" s="116"/>
      <c r="L28" s="122">
        <f>L24-L25-L26</f>
        <v>-969332.49990778463</v>
      </c>
      <c r="M28" s="116"/>
      <c r="N28" s="122">
        <f>N24-N25-N26</f>
        <v>1744068.5201835386</v>
      </c>
      <c r="O28" s="116"/>
      <c r="P28" s="14"/>
      <c r="Q28" s="14"/>
      <c r="R28" s="14"/>
      <c r="S28" s="14"/>
      <c r="T28" s="14"/>
      <c r="U28" s="14"/>
      <c r="V28" s="14"/>
      <c r="W28" s="14"/>
      <c r="X28" s="14"/>
      <c r="Y28" s="14"/>
      <c r="Z28" s="14"/>
    </row>
    <row r="29" spans="2:26" ht="15.75" customHeight="1" x14ac:dyDescent="0.25">
      <c r="B29" s="56"/>
      <c r="C29" s="20" t="s">
        <v>99</v>
      </c>
      <c r="D29" s="70" t="s">
        <v>47</v>
      </c>
      <c r="E29" s="69" t="s">
        <v>124</v>
      </c>
      <c r="F29" s="122">
        <f>IF(F28&gt;0,(F28),0)</f>
        <v>0</v>
      </c>
      <c r="G29" s="136"/>
      <c r="H29" s="122">
        <f>IF(H28&gt;0,(H28),0)</f>
        <v>873933.74061941355</v>
      </c>
      <c r="I29" s="136"/>
      <c r="J29" s="122">
        <f>IF(J28&gt;0,(J28),0)</f>
        <v>418053.77166227321</v>
      </c>
      <c r="K29" s="136"/>
      <c r="L29" s="122">
        <f>IF(L28&gt;0,(L28),0)</f>
        <v>0</v>
      </c>
      <c r="M29" s="136"/>
      <c r="N29" s="122">
        <f>IF(N28&gt;0,(N28),0)</f>
        <v>1744068.5201835386</v>
      </c>
      <c r="O29" s="136"/>
      <c r="P29" s="137" t="s">
        <v>125</v>
      </c>
      <c r="Q29" s="14"/>
      <c r="R29" s="14"/>
      <c r="S29" s="14"/>
      <c r="T29" s="14"/>
      <c r="U29" s="14"/>
      <c r="V29" s="14"/>
      <c r="W29" s="14"/>
      <c r="X29" s="14"/>
      <c r="Y29" s="14"/>
      <c r="Z29" s="14"/>
    </row>
    <row r="30" spans="2:26" x14ac:dyDescent="0.25">
      <c r="B30" s="56"/>
      <c r="C30" s="20" t="s">
        <v>98</v>
      </c>
      <c r="D30" s="70" t="s">
        <v>49</v>
      </c>
      <c r="E30" s="69" t="s">
        <v>126</v>
      </c>
      <c r="F30" s="122">
        <f>F29*$E$7</f>
        <v>0</v>
      </c>
      <c r="G30" s="116"/>
      <c r="H30" s="122">
        <f>H29*$E$7</f>
        <v>174786.74812388272</v>
      </c>
      <c r="I30" s="116"/>
      <c r="J30" s="122">
        <f>J29*$E$7</f>
        <v>83610.754332454642</v>
      </c>
      <c r="K30" s="116"/>
      <c r="L30" s="122">
        <f>L29*$E$7</f>
        <v>0</v>
      </c>
      <c r="M30" s="116"/>
      <c r="N30" s="122">
        <f>N29*$E$7</f>
        <v>348813.70403670776</v>
      </c>
      <c r="O30" s="116"/>
      <c r="P30" s="22"/>
      <c r="Q30" s="14"/>
      <c r="R30" s="14"/>
      <c r="S30" s="14"/>
      <c r="T30" s="14"/>
      <c r="U30" s="14"/>
      <c r="V30" s="14"/>
      <c r="W30" s="14"/>
      <c r="X30" s="14"/>
      <c r="Y30" s="14"/>
      <c r="Z30" s="14"/>
    </row>
    <row r="31" spans="2:26" ht="15.75" customHeight="1" x14ac:dyDescent="0.25">
      <c r="B31" s="56"/>
      <c r="C31" s="18" t="s">
        <v>97</v>
      </c>
      <c r="D31" s="70" t="s">
        <v>50</v>
      </c>
      <c r="E31" s="18"/>
      <c r="F31" s="138" t="str">
        <f>IF(F30&gt;0,"Yes"," No")</f>
        <v xml:space="preserve"> No</v>
      </c>
      <c r="G31" s="139"/>
      <c r="H31" s="138" t="str">
        <f>IF(H30&gt;0,"Yes"," No")</f>
        <v>Yes</v>
      </c>
      <c r="I31" s="139"/>
      <c r="J31" s="138" t="str">
        <f>IF(J30&gt;0,"Yes"," No")</f>
        <v>Yes</v>
      </c>
      <c r="K31" s="139"/>
      <c r="L31" s="138" t="str">
        <f>IF(L30&gt;0,"Yes"," No")</f>
        <v xml:space="preserve"> No</v>
      </c>
      <c r="M31" s="139"/>
      <c r="N31" s="138" t="str">
        <f>IF(N30&gt;0,"Yes"," No")</f>
        <v>Yes</v>
      </c>
      <c r="O31" s="139"/>
      <c r="P31" s="19"/>
      <c r="Q31" s="19"/>
      <c r="R31" s="14"/>
      <c r="S31" s="14"/>
      <c r="T31" s="14"/>
      <c r="U31" s="19"/>
      <c r="V31" s="14"/>
      <c r="W31" s="14"/>
      <c r="X31" s="14"/>
      <c r="Y31" s="14"/>
      <c r="Z31" s="14"/>
    </row>
    <row r="32" spans="2:26" ht="15.75" customHeight="1" x14ac:dyDescent="0.25">
      <c r="B32" s="56"/>
      <c r="C32" s="124"/>
      <c r="D32" s="116"/>
      <c r="E32" s="116"/>
      <c r="F32" s="116"/>
      <c r="G32" s="116"/>
      <c r="H32" s="116"/>
      <c r="I32" s="116"/>
      <c r="J32" s="116"/>
      <c r="K32" s="116"/>
      <c r="L32" s="116"/>
      <c r="M32" s="116"/>
      <c r="N32" s="116"/>
      <c r="O32" s="123"/>
      <c r="P32" s="14"/>
      <c r="Q32" s="14"/>
      <c r="R32" s="14"/>
      <c r="S32" s="14"/>
      <c r="T32" s="14"/>
      <c r="U32" s="14"/>
      <c r="V32" s="14"/>
      <c r="W32" s="14"/>
      <c r="X32" s="14"/>
      <c r="Y32" s="14"/>
      <c r="Z32" s="14"/>
    </row>
    <row r="33" spans="2:26" ht="33" customHeight="1" x14ac:dyDescent="0.25">
      <c r="B33" s="56"/>
      <c r="C33" s="18" t="s">
        <v>54</v>
      </c>
      <c r="D33" s="70" t="s">
        <v>52</v>
      </c>
      <c r="E33" s="5" t="s">
        <v>127</v>
      </c>
      <c r="F33" s="122">
        <f>F24-F30</f>
        <v>3615555.625</v>
      </c>
      <c r="G33" s="136"/>
      <c r="H33" s="122">
        <f>H24-H30</f>
        <v>6199146.9924955312</v>
      </c>
      <c r="I33" s="136"/>
      <c r="J33" s="122">
        <f>J24-J30</f>
        <v>7345770.1320111733</v>
      </c>
      <c r="K33" s="136"/>
      <c r="L33" s="122">
        <f>L24-L30</f>
        <v>7202986.4750702064</v>
      </c>
      <c r="M33" s="136"/>
      <c r="N33" s="122">
        <f>N24-N30</f>
        <v>9567573.7911248226</v>
      </c>
      <c r="O33" s="136"/>
      <c r="P33" s="14"/>
      <c r="Q33" s="14"/>
      <c r="R33" s="14"/>
      <c r="S33" s="14"/>
      <c r="T33" s="14"/>
      <c r="U33" s="14"/>
      <c r="V33" s="14"/>
      <c r="W33" s="14"/>
      <c r="X33" s="14"/>
      <c r="Y33" s="14"/>
      <c r="Z33" s="14"/>
    </row>
    <row r="34" spans="2:26" x14ac:dyDescent="0.25">
      <c r="B34" s="56"/>
      <c r="C34" s="18" t="s">
        <v>10</v>
      </c>
      <c r="D34" s="70" t="s">
        <v>80</v>
      </c>
      <c r="E34" s="5" t="s">
        <v>128</v>
      </c>
      <c r="F34" s="134">
        <f>-100%+(F33/F13)</f>
        <v>-0.27688887500000003</v>
      </c>
      <c r="G34" s="116"/>
      <c r="H34" s="134">
        <f>-100%+(H33/H13)</f>
        <v>0.71457657839119304</v>
      </c>
      <c r="I34" s="116"/>
      <c r="J34" s="134">
        <f>-100%+(J33/J13)</f>
        <v>0.18496466383257304</v>
      </c>
      <c r="K34" s="116"/>
      <c r="L34" s="134">
        <f>-100%+(L33/L13)</f>
        <v>-1.9437534033191262E-2</v>
      </c>
      <c r="M34" s="116"/>
      <c r="N34" s="134">
        <f>-100%+(N33/N13)</f>
        <v>0.3282787388590187</v>
      </c>
      <c r="O34" s="116"/>
      <c r="P34" s="14"/>
      <c r="Q34" s="14"/>
      <c r="R34" s="14"/>
      <c r="S34" s="14"/>
      <c r="T34" s="14"/>
      <c r="U34" s="14"/>
      <c r="V34" s="14"/>
      <c r="W34" s="14"/>
      <c r="X34" s="14"/>
      <c r="Y34" s="14"/>
      <c r="Z34" s="14"/>
    </row>
    <row r="35" spans="2:26" ht="15.75" customHeight="1" x14ac:dyDescent="0.25">
      <c r="B35" s="56"/>
      <c r="C35" s="124"/>
      <c r="D35" s="116"/>
      <c r="E35" s="116"/>
      <c r="F35" s="116"/>
      <c r="G35" s="116"/>
      <c r="H35" s="116"/>
      <c r="I35" s="116"/>
      <c r="J35" s="116"/>
      <c r="K35" s="116"/>
      <c r="L35" s="116"/>
      <c r="M35" s="116"/>
      <c r="N35" s="116"/>
      <c r="O35" s="123"/>
      <c r="P35" s="14"/>
      <c r="Q35" s="14"/>
      <c r="R35" s="14"/>
      <c r="S35" s="14"/>
      <c r="T35" s="14"/>
      <c r="U35" s="14"/>
      <c r="V35" s="14"/>
      <c r="W35" s="14"/>
      <c r="X35" s="14"/>
      <c r="Y35" s="14"/>
      <c r="Z35" s="14"/>
    </row>
    <row r="36" spans="2:26" ht="15.75" customHeight="1" x14ac:dyDescent="0.25">
      <c r="B36" s="56"/>
      <c r="C36" s="18" t="s">
        <v>114</v>
      </c>
      <c r="D36" s="70" t="s">
        <v>96</v>
      </c>
      <c r="E36" s="5" t="s">
        <v>129</v>
      </c>
      <c r="F36" s="82">
        <f>+MAX(F25,F24)</f>
        <v>5000000</v>
      </c>
      <c r="G36" s="82"/>
      <c r="H36" s="82">
        <f>+MAX(H25,H24)</f>
        <v>6373933.7406194136</v>
      </c>
      <c r="I36" s="82"/>
      <c r="J36" s="82">
        <f>+MAX(J25,J24)</f>
        <v>7429380.8863436282</v>
      </c>
      <c r="K36" s="82"/>
      <c r="L36" s="82">
        <f>+MAX(L25,L24)</f>
        <v>7429380.8863436282</v>
      </c>
      <c r="M36" s="82"/>
      <c r="N36" s="82">
        <f>+MAX(N25,N24)</f>
        <v>9916387.4951615296</v>
      </c>
      <c r="O36" s="82"/>
      <c r="P36" s="17"/>
      <c r="Q36" s="14"/>
      <c r="R36" s="14"/>
      <c r="S36" s="14"/>
      <c r="T36" s="14"/>
      <c r="U36" s="14"/>
      <c r="V36" s="14"/>
      <c r="W36" s="14"/>
      <c r="X36" s="14"/>
      <c r="Y36" s="14"/>
      <c r="Z36" s="14"/>
    </row>
    <row r="37" spans="2:26" ht="15.75" customHeight="1" thickBot="1" x14ac:dyDescent="0.3">
      <c r="B37" s="56"/>
      <c r="C37" s="59"/>
      <c r="D37" s="16"/>
      <c r="E37" s="15"/>
      <c r="F37" s="14"/>
      <c r="G37" s="14"/>
      <c r="H37" s="14"/>
      <c r="I37" s="14"/>
      <c r="J37" s="14"/>
      <c r="K37" s="14"/>
      <c r="L37" s="14"/>
      <c r="M37" s="14"/>
      <c r="N37" s="14"/>
      <c r="O37" s="58"/>
      <c r="P37" s="14"/>
      <c r="Q37" s="14"/>
      <c r="R37" s="14"/>
      <c r="S37" s="14"/>
      <c r="T37" s="14"/>
      <c r="U37" s="14"/>
      <c r="V37" s="14"/>
      <c r="W37" s="14"/>
      <c r="X37" s="14"/>
      <c r="Y37" s="14"/>
      <c r="Z37" s="14"/>
    </row>
    <row r="38" spans="2:26" ht="15.75" customHeight="1" thickBot="1" x14ac:dyDescent="0.3">
      <c r="B38" s="131" t="s">
        <v>88</v>
      </c>
      <c r="C38" s="132"/>
      <c r="D38" s="132"/>
      <c r="E38" s="132"/>
      <c r="F38" s="132"/>
      <c r="G38" s="132"/>
      <c r="H38" s="132"/>
      <c r="I38" s="132"/>
      <c r="J38" s="132"/>
      <c r="K38" s="132"/>
      <c r="L38" s="132"/>
      <c r="M38" s="132"/>
      <c r="N38" s="132"/>
      <c r="O38" s="133"/>
      <c r="P38" s="14"/>
      <c r="Q38" s="14"/>
      <c r="R38" s="14"/>
      <c r="S38" s="14"/>
      <c r="T38" s="14"/>
      <c r="U38" s="14"/>
      <c r="V38" s="14"/>
      <c r="W38" s="14"/>
      <c r="X38" s="14"/>
      <c r="Y38" s="14"/>
      <c r="Z38" s="14"/>
    </row>
    <row r="39" spans="2:26" ht="35.450000000000003" customHeight="1" thickBot="1" x14ac:dyDescent="0.3">
      <c r="B39" s="50">
        <v>1</v>
      </c>
      <c r="C39" s="128" t="s">
        <v>130</v>
      </c>
      <c r="D39" s="129"/>
      <c r="E39" s="129"/>
      <c r="F39" s="129"/>
      <c r="G39" s="129"/>
      <c r="H39" s="129"/>
      <c r="I39" s="129"/>
      <c r="J39" s="129"/>
      <c r="K39" s="129"/>
      <c r="L39" s="129"/>
      <c r="M39" s="129"/>
      <c r="N39" s="129"/>
      <c r="O39" s="130"/>
      <c r="P39" s="14"/>
      <c r="Q39" s="14"/>
      <c r="R39" s="14"/>
      <c r="S39" s="14"/>
      <c r="T39" s="14"/>
      <c r="U39" s="14"/>
      <c r="V39" s="14"/>
      <c r="W39" s="14"/>
      <c r="X39" s="14"/>
      <c r="Y39" s="14"/>
      <c r="Z39" s="14"/>
    </row>
    <row r="40" spans="2:26" ht="15.75" customHeight="1" thickBot="1" x14ac:dyDescent="0.3">
      <c r="B40" s="50">
        <v>2</v>
      </c>
      <c r="C40" s="128" t="s">
        <v>131</v>
      </c>
      <c r="D40" s="129"/>
      <c r="E40" s="129"/>
      <c r="F40" s="129"/>
      <c r="G40" s="129"/>
      <c r="H40" s="129"/>
      <c r="I40" s="129"/>
      <c r="J40" s="129"/>
      <c r="K40" s="129"/>
      <c r="L40" s="129"/>
      <c r="M40" s="129"/>
      <c r="N40" s="129"/>
      <c r="O40" s="130"/>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25">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110">
    <mergeCell ref="C40:O40"/>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L22:M22"/>
    <mergeCell ref="N22:O22"/>
    <mergeCell ref="C23:O23"/>
    <mergeCell ref="C39:O39"/>
    <mergeCell ref="B38:O38"/>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F30:G30"/>
    <mergeCell ref="H30:I30"/>
    <mergeCell ref="J30:K30"/>
    <mergeCell ref="L30:M30"/>
    <mergeCell ref="N30:O30"/>
    <mergeCell ref="J29:K29"/>
    <mergeCell ref="L29:M29"/>
    <mergeCell ref="H31:I31"/>
    <mergeCell ref="J31:K31"/>
    <mergeCell ref="L31:M31"/>
    <mergeCell ref="C16:O16"/>
    <mergeCell ref="L19:M19"/>
    <mergeCell ref="N19:O19"/>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L20:M20"/>
    <mergeCell ref="N20:O20"/>
    <mergeCell ref="F17:G17"/>
    <mergeCell ref="H17:I17"/>
    <mergeCell ref="J17:K17"/>
    <mergeCell ref="L17:M17"/>
    <mergeCell ref="N17:O17"/>
    <mergeCell ref="C18:K18"/>
    <mergeCell ref="F19:G19"/>
    <mergeCell ref="H19:I19"/>
    <mergeCell ref="L18:M18"/>
    <mergeCell ref="N18:O18"/>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 Variable Fees</vt:lpstr>
      <vt:lpstr>One Year-Hybrid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Tarun</cp:lastModifiedBy>
  <cp:lastPrinted>2024-07-29T09:59:59Z</cp:lastPrinted>
  <dcterms:created xsi:type="dcterms:W3CDTF">2024-06-06T09:43:50Z</dcterms:created>
  <dcterms:modified xsi:type="dcterms:W3CDTF">2024-09-27T07:52:32Z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